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\Bakhshi Sanaye Surena\رویین\گزارشات قانونی و عملکرد\صورت وضعیت پرتفوی\1404\14041130\"/>
    </mc:Choice>
  </mc:AlternateContent>
  <xr:revisionPtr revIDLastSave="0" documentId="13_ncr:1_{C70941FF-67C9-411C-9CD6-7D7B0CDA4FA1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_FilterDatabase" localSheetId="4" hidden="1">'درآمد سرمایه گذاری در سهام'!$A$1:$A$67</definedName>
    <definedName name="_xlnm.Print_Area" localSheetId="3">درآمد!$A$1:$K$12</definedName>
    <definedName name="_xlnm.Print_Area" localSheetId="5">'درآمد سپرده بانکی'!$A$1:$K$11</definedName>
    <definedName name="_xlnm.Print_Area" localSheetId="4">'درآمد سرمایه گذاری در سهام'!$A$1:$W$62</definedName>
    <definedName name="_xlnm.Print_Area" localSheetId="7">'درآمد سود سهام'!$A$1:$T$29</definedName>
    <definedName name="_xlnm.Print_Area" localSheetId="10">'درآمد ناشی از تغییر قیمت اوراق'!$A$1:$Q$42</definedName>
    <definedName name="_xlnm.Print_Area" localSheetId="9">'درآمد ناشی از فروش'!$A$1:$R$54</definedName>
    <definedName name="_xlnm.Print_Area" localSheetId="6">'سایر درآمدها'!$A$1:$G$12</definedName>
    <definedName name="_xlnm.Print_Area" localSheetId="2">سپرده!$A$1:$M$11</definedName>
    <definedName name="_xlnm.Print_Area" localSheetId="1">سهام!$A$1:$AA$43</definedName>
    <definedName name="_xlnm.Print_Area" localSheetId="8">'سود سپرده بانکی'!$A$1:$N$11</definedName>
    <definedName name="_xlnm.Print_Area" localSheetId="0">'صورت وضعیت'!$A$1:$C$24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0" i="2" l="1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9" i="2"/>
  <c r="I31" i="21"/>
  <c r="I7" i="21"/>
  <c r="I37" i="21"/>
  <c r="I33" i="21"/>
  <c r="Q37" i="21"/>
  <c r="Q33" i="21"/>
  <c r="Q31" i="21"/>
  <c r="Q22" i="21"/>
  <c r="Q10" i="21"/>
  <c r="Q13" i="21"/>
  <c r="Q9" i="21"/>
  <c r="Q8" i="21"/>
  <c r="Q11" i="21"/>
  <c r="Q7" i="21"/>
  <c r="Q16" i="21"/>
  <c r="Q15" i="21"/>
  <c r="Q26" i="21"/>
  <c r="Q27" i="21"/>
  <c r="Q52" i="19"/>
  <c r="Q18" i="19"/>
  <c r="Q8" i="19" l="1"/>
  <c r="Q53" i="19"/>
  <c r="M8" i="9"/>
  <c r="Q43" i="2" l="1"/>
  <c r="M15" i="9"/>
  <c r="M24" i="9"/>
  <c r="M27" i="9"/>
  <c r="M32" i="9"/>
  <c r="M33" i="9"/>
  <c r="M36" i="9"/>
  <c r="M39" i="9"/>
  <c r="M40" i="9"/>
  <c r="M41" i="9"/>
  <c r="M43" i="9"/>
  <c r="M44" i="9"/>
  <c r="M45" i="9"/>
  <c r="M46" i="9"/>
  <c r="M47" i="9"/>
  <c r="M10" i="9"/>
  <c r="M13" i="9"/>
  <c r="M16" i="9"/>
  <c r="M17" i="9"/>
  <c r="M20" i="9"/>
  <c r="M21" i="9"/>
  <c r="U8" i="9"/>
  <c r="S55" i="9"/>
  <c r="S56" i="9"/>
  <c r="S49" i="9"/>
  <c r="S44" i="9"/>
  <c r="S43" i="9"/>
  <c r="G44" i="9"/>
  <c r="G43" i="9"/>
  <c r="I49" i="19"/>
  <c r="Q41" i="21"/>
  <c r="O24" i="9"/>
  <c r="O25" i="9"/>
  <c r="E27" i="9"/>
  <c r="I13" i="21"/>
  <c r="E24" i="9" s="1"/>
  <c r="E25" i="9"/>
  <c r="E51" i="9"/>
  <c r="E46" i="9"/>
  <c r="E47" i="9"/>
  <c r="E50" i="9"/>
  <c r="E13" i="9"/>
  <c r="E15" i="9"/>
  <c r="E20" i="9"/>
  <c r="E21" i="9"/>
  <c r="E22" i="9"/>
  <c r="E23" i="9"/>
  <c r="E28" i="9"/>
  <c r="E29" i="9"/>
  <c r="E32" i="9"/>
  <c r="E33" i="9"/>
  <c r="E36" i="9"/>
  <c r="E38" i="9"/>
  <c r="E40" i="9"/>
  <c r="E42" i="9"/>
  <c r="E43" i="9"/>
  <c r="E44" i="9"/>
  <c r="E45" i="9"/>
  <c r="S8" i="9"/>
  <c r="O15" i="9"/>
  <c r="G55" i="9"/>
  <c r="G50" i="9"/>
  <c r="G42" i="9"/>
  <c r="G35" i="9"/>
  <c r="G40" i="9"/>
  <c r="G33" i="9"/>
  <c r="G22" i="9"/>
  <c r="G24" i="9"/>
  <c r="G25" i="9"/>
  <c r="G20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5" i="9"/>
  <c r="S46" i="9"/>
  <c r="S48" i="9"/>
  <c r="S50" i="9"/>
  <c r="S52" i="9"/>
  <c r="S57" i="9"/>
  <c r="S9" i="9"/>
  <c r="O20" i="9"/>
  <c r="O21" i="9"/>
  <c r="O22" i="9"/>
  <c r="O23" i="9"/>
  <c r="O27" i="9"/>
  <c r="O28" i="9"/>
  <c r="O29" i="9"/>
  <c r="O32" i="9"/>
  <c r="O33" i="9"/>
  <c r="O35" i="9"/>
  <c r="O36" i="9"/>
  <c r="O38" i="9"/>
  <c r="O40" i="9"/>
  <c r="O42" i="9"/>
  <c r="O43" i="9"/>
  <c r="O44" i="9"/>
  <c r="O45" i="9"/>
  <c r="O46" i="9"/>
  <c r="O47" i="9"/>
  <c r="O50" i="9"/>
  <c r="O51" i="9"/>
  <c r="O53" i="9"/>
  <c r="O54" i="9"/>
  <c r="O55" i="9"/>
  <c r="O56" i="9"/>
  <c r="O57" i="9"/>
  <c r="O58" i="9"/>
  <c r="O59" i="9"/>
  <c r="O60" i="9"/>
  <c r="O61" i="9"/>
  <c r="O13" i="9"/>
  <c r="G45" i="9"/>
  <c r="G13" i="9"/>
  <c r="E61" i="9"/>
  <c r="E53" i="9"/>
  <c r="E54" i="9"/>
  <c r="E55" i="9"/>
  <c r="E56" i="9"/>
  <c r="E57" i="9"/>
  <c r="E58" i="9"/>
  <c r="E59" i="9"/>
  <c r="E60" i="9"/>
  <c r="I60" i="9" s="1"/>
  <c r="C62" i="9"/>
  <c r="Q36" i="19"/>
  <c r="O34" i="19"/>
  <c r="M34" i="19"/>
  <c r="M36" i="19"/>
  <c r="O52" i="19"/>
  <c r="M52" i="19"/>
  <c r="K52" i="19"/>
  <c r="O49" i="19"/>
  <c r="M49" i="19"/>
  <c r="K49" i="19"/>
  <c r="O47" i="19"/>
  <c r="M47" i="19"/>
  <c r="K47" i="19"/>
  <c r="K46" i="19"/>
  <c r="O45" i="19"/>
  <c r="M45" i="19"/>
  <c r="K45" i="19"/>
  <c r="O39" i="19"/>
  <c r="M39" i="19"/>
  <c r="K39" i="19"/>
  <c r="O37" i="19"/>
  <c r="M37" i="19"/>
  <c r="K37" i="19"/>
  <c r="K36" i="19"/>
  <c r="O36" i="19"/>
  <c r="K34" i="19"/>
  <c r="O23" i="19"/>
  <c r="M23" i="19"/>
  <c r="K23" i="19"/>
  <c r="O22" i="19"/>
  <c r="M22" i="19"/>
  <c r="K22" i="19"/>
  <c r="Q21" i="19"/>
  <c r="O21" i="19"/>
  <c r="M21" i="19"/>
  <c r="K21" i="19"/>
  <c r="K18" i="19"/>
  <c r="M18" i="19"/>
  <c r="O18" i="19"/>
  <c r="O8" i="19"/>
  <c r="O46" i="19"/>
  <c r="M8" i="19"/>
  <c r="K8" i="19"/>
  <c r="Q46" i="19"/>
  <c r="M46" i="19"/>
  <c r="I46" i="19"/>
  <c r="C53" i="19"/>
  <c r="K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7" i="21"/>
  <c r="K41" i="21" s="1"/>
  <c r="O41" i="21"/>
  <c r="M41" i="21"/>
  <c r="Q12" i="21"/>
  <c r="Q14" i="21"/>
  <c r="Q17" i="21"/>
  <c r="Q18" i="21"/>
  <c r="Q19" i="21"/>
  <c r="Q20" i="21"/>
  <c r="Q21" i="21"/>
  <c r="Q23" i="21"/>
  <c r="Q24" i="21"/>
  <c r="Q25" i="21"/>
  <c r="Q28" i="21"/>
  <c r="Q29" i="21"/>
  <c r="Q30" i="21"/>
  <c r="Q32" i="21"/>
  <c r="Q34" i="21"/>
  <c r="Q35" i="21"/>
  <c r="Q36" i="21"/>
  <c r="Q38" i="21"/>
  <c r="Q39" i="21"/>
  <c r="Q40" i="21"/>
  <c r="S8" i="15"/>
  <c r="G41" i="21"/>
  <c r="I40" i="21"/>
  <c r="E41" i="21"/>
  <c r="C41" i="21"/>
  <c r="I8" i="21"/>
  <c r="I9" i="21"/>
  <c r="I10" i="21"/>
  <c r="I11" i="21"/>
  <c r="I12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41" i="21" s="1"/>
  <c r="I27" i="21"/>
  <c r="I28" i="21"/>
  <c r="I29" i="21"/>
  <c r="I30" i="21"/>
  <c r="I32" i="21"/>
  <c r="I34" i="21"/>
  <c r="I35" i="21"/>
  <c r="I36" i="21"/>
  <c r="I38" i="21"/>
  <c r="I39" i="21"/>
  <c r="E35" i="9" l="1"/>
  <c r="E62" i="9" s="1"/>
  <c r="U61" i="9"/>
  <c r="U60" i="9"/>
  <c r="I61" i="9"/>
  <c r="I43" i="9"/>
  <c r="I44" i="9"/>
  <c r="M62" i="9"/>
  <c r="I42" i="9"/>
  <c r="S62" i="9"/>
  <c r="O62" i="9"/>
  <c r="G62" i="9"/>
  <c r="Q45" i="19"/>
  <c r="I7" i="18"/>
  <c r="C7" i="18"/>
  <c r="I62" i="9" l="1"/>
  <c r="S42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10" i="2"/>
  <c r="S9" i="2"/>
  <c r="AA43" i="2"/>
  <c r="Y43" i="2"/>
  <c r="W43" i="2"/>
  <c r="O43" i="2"/>
  <c r="M43" i="2"/>
  <c r="K43" i="2"/>
  <c r="I43" i="2"/>
  <c r="G43" i="2"/>
  <c r="E43" i="2"/>
  <c r="I9" i="18" l="1"/>
  <c r="I8" i="9"/>
  <c r="J7" i="7"/>
  <c r="J8" i="7"/>
  <c r="J9" i="7"/>
  <c r="O28" i="15"/>
  <c r="U47" i="9"/>
  <c r="U50" i="9"/>
  <c r="U51" i="9"/>
  <c r="U53" i="9"/>
  <c r="U54" i="9"/>
  <c r="U56" i="9"/>
  <c r="U58" i="9"/>
  <c r="U59" i="9"/>
  <c r="I9" i="9"/>
  <c r="I10" i="9"/>
  <c r="I11" i="9"/>
  <c r="I12" i="9"/>
  <c r="I14" i="9"/>
  <c r="I16" i="9"/>
  <c r="I17" i="9"/>
  <c r="I18" i="9"/>
  <c r="I19" i="9"/>
  <c r="I20" i="9"/>
  <c r="I22" i="9"/>
  <c r="I24" i="9"/>
  <c r="I25" i="9"/>
  <c r="I26" i="9"/>
  <c r="I28" i="9"/>
  <c r="I30" i="9"/>
  <c r="I31" i="9"/>
  <c r="I32" i="9"/>
  <c r="I33" i="9"/>
  <c r="I34" i="9"/>
  <c r="I35" i="9"/>
  <c r="I36" i="9"/>
  <c r="I37" i="9"/>
  <c r="I39" i="9"/>
  <c r="I40" i="9"/>
  <c r="I41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U13" i="9" l="1"/>
  <c r="S43" i="2"/>
  <c r="I15" i="9"/>
  <c r="I23" i="9"/>
  <c r="I29" i="9"/>
  <c r="I27" i="9"/>
  <c r="I38" i="9"/>
  <c r="I21" i="9"/>
  <c r="M53" i="19"/>
  <c r="U20" i="9"/>
  <c r="Q9" i="19"/>
  <c r="U15" i="9" s="1"/>
  <c r="Q10" i="19"/>
  <c r="U16" i="9" s="1"/>
  <c r="Q11" i="19"/>
  <c r="U17" i="9" s="1"/>
  <c r="Q12" i="19"/>
  <c r="U18" i="9" s="1"/>
  <c r="Q13" i="19"/>
  <c r="U9" i="9" s="1"/>
  <c r="Q14" i="19"/>
  <c r="U10" i="9" s="1"/>
  <c r="Q15" i="19"/>
  <c r="U11" i="9" s="1"/>
  <c r="Q16" i="19"/>
  <c r="U12" i="9" s="1"/>
  <c r="Q17" i="19"/>
  <c r="U19" i="9" s="1"/>
  <c r="Q19" i="19"/>
  <c r="U14" i="9" s="1"/>
  <c r="Q20" i="19"/>
  <c r="U38" i="9" s="1"/>
  <c r="U42" i="9"/>
  <c r="Q22" i="19"/>
  <c r="U25" i="9" s="1"/>
  <c r="Q23" i="19"/>
  <c r="U22" i="9" s="1"/>
  <c r="Q24" i="19"/>
  <c r="U28" i="9" s="1"/>
  <c r="Q25" i="19"/>
  <c r="U39" i="9" s="1"/>
  <c r="Q26" i="19"/>
  <c r="U41" i="9" s="1"/>
  <c r="Q27" i="19"/>
  <c r="U21" i="9" s="1"/>
  <c r="Q28" i="19"/>
  <c r="U30" i="9" s="1"/>
  <c r="Q29" i="19"/>
  <c r="U26" i="9" s="1"/>
  <c r="Q30" i="19"/>
  <c r="U27" i="9" s="1"/>
  <c r="Q31" i="19"/>
  <c r="U29" i="9" s="1"/>
  <c r="Q32" i="19"/>
  <c r="Q33" i="19"/>
  <c r="U23" i="9" s="1"/>
  <c r="Q34" i="19"/>
  <c r="Q35" i="19"/>
  <c r="U48" i="9" s="1"/>
  <c r="U33" i="9"/>
  <c r="Q37" i="19"/>
  <c r="U24" i="9" s="1"/>
  <c r="Q38" i="19"/>
  <c r="U34" i="9" s="1"/>
  <c r="Q39" i="19"/>
  <c r="U35" i="9" s="1"/>
  <c r="Q40" i="19"/>
  <c r="Q41" i="19"/>
  <c r="U31" i="9" s="1"/>
  <c r="Q42" i="19"/>
  <c r="U37" i="9" s="1"/>
  <c r="Q43" i="19"/>
  <c r="U46" i="9" s="1"/>
  <c r="Q44" i="19"/>
  <c r="U52" i="9" s="1"/>
  <c r="U45" i="9"/>
  <c r="Q47" i="19"/>
  <c r="U55" i="9" s="1"/>
  <c r="Q48" i="19"/>
  <c r="U57" i="9" s="1"/>
  <c r="Q49" i="19"/>
  <c r="U43" i="9" s="1"/>
  <c r="Q50" i="19"/>
  <c r="Q51" i="19"/>
  <c r="U49" i="9" s="1"/>
  <c r="U44" i="9"/>
  <c r="I51" i="19"/>
  <c r="I50" i="19"/>
  <c r="I52" i="19"/>
  <c r="O53" i="19"/>
  <c r="K53" i="19"/>
  <c r="G53" i="19"/>
  <c r="E53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7" i="19"/>
  <c r="I48" i="19"/>
  <c r="I7" i="19"/>
  <c r="I13" i="9" l="1"/>
  <c r="I53" i="19"/>
  <c r="M27" i="15" l="1"/>
  <c r="S24" i="15"/>
  <c r="S15" i="15"/>
  <c r="S7" i="15"/>
  <c r="Q7" i="19"/>
  <c r="S9" i="15" l="1"/>
  <c r="S10" i="15"/>
  <c r="U36" i="9" s="1"/>
  <c r="S11" i="15"/>
  <c r="S12" i="15"/>
  <c r="S13" i="15"/>
  <c r="S14" i="15"/>
  <c r="S16" i="15"/>
  <c r="S17" i="15"/>
  <c r="S18" i="15"/>
  <c r="S19" i="15"/>
  <c r="S20" i="15"/>
  <c r="S21" i="15"/>
  <c r="S22" i="15"/>
  <c r="S23" i="15"/>
  <c r="S25" i="15"/>
  <c r="S26" i="15"/>
  <c r="S27" i="15"/>
  <c r="U40" i="9" s="1"/>
  <c r="S28" i="15" l="1"/>
  <c r="F6" i="8"/>
  <c r="Q28" i="15"/>
  <c r="U32" i="9" l="1"/>
  <c r="U62" i="9" s="1"/>
  <c r="M28" i="15"/>
  <c r="I28" i="15"/>
  <c r="K28" i="15"/>
  <c r="I8" i="18"/>
  <c r="C8" i="18"/>
  <c r="C9" i="18"/>
  <c r="G7" i="18"/>
  <c r="F11" i="14" l="1"/>
  <c r="D11" i="14" l="1"/>
  <c r="F10" i="8" s="1"/>
  <c r="M8" i="18" l="1"/>
  <c r="M9" i="18"/>
  <c r="M7" i="18"/>
  <c r="I10" i="18"/>
  <c r="C10" i="18"/>
  <c r="G9" i="18"/>
  <c r="G8" i="18"/>
  <c r="M25" i="15"/>
  <c r="H10" i="13"/>
  <c r="D10" i="13"/>
  <c r="L10" i="7"/>
  <c r="F10" i="7"/>
  <c r="H10" i="7"/>
  <c r="J11" i="8" l="1"/>
  <c r="F9" i="8"/>
  <c r="G10" i="18"/>
  <c r="M10" i="18"/>
  <c r="F11" i="8" l="1"/>
  <c r="D10" i="7" l="1"/>
  <c r="J10" i="7"/>
  <c r="H11" i="8" l="1"/>
</calcChain>
</file>

<file path=xl/sharedStrings.xml><?xml version="1.0" encoding="utf-8"?>
<sst xmlns="http://schemas.openxmlformats.org/spreadsheetml/2006/main" count="395" uniqueCount="159">
  <si>
    <t>صندوق سرمایه گذاری بخشی صنایع سورنا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</si>
  <si>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</si>
  <si>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</si>
  <si>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</si>
  <si>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</si>
  <si>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</si>
  <si>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</si>
  <si>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</si>
  <si>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</si>
  <si>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</si>
  <si>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</si>
  <si>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</si>
  <si>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</si>
  <si>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</si>
  <si>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</si>
  <si>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آلومینای ایران</t>
  </si>
  <si>
    <t>اقتصادی و خودکفایی آزادگان</t>
  </si>
  <si>
    <t>بانک تجارت</t>
  </si>
  <si>
    <t>بهار رز عالیس چناران</t>
  </si>
  <si>
    <t>پاکدیس</t>
  </si>
  <si>
    <t>پگاه‌آذربایجان‌غربی‌</t>
  </si>
  <si>
    <t>توسعه نیشکر و  صنایع جانبی</t>
  </si>
  <si>
    <t>تولیدی‌مهرام‌</t>
  </si>
  <si>
    <t>دشت‌ مرغاب‌</t>
  </si>
  <si>
    <t>سپید ماکیان</t>
  </si>
  <si>
    <t>سیمرغ</t>
  </si>
  <si>
    <t>شوکو پارس</t>
  </si>
  <si>
    <t>شیر پاستوریزه پگاه گلپایگان</t>
  </si>
  <si>
    <t>شیرپاستوریزه‌پگاه‌اصفهان‌</t>
  </si>
  <si>
    <t>صنعت غذایی کورش</t>
  </si>
  <si>
    <t>صنعتی بهپاک</t>
  </si>
  <si>
    <t>صنعتی زر ماکارون</t>
  </si>
  <si>
    <t>صنعتی مینو</t>
  </si>
  <si>
    <t>فرآورده های دامی ولبنی دالاهو</t>
  </si>
  <si>
    <t>فروشگاههای زنجیره ای افق کوروش</t>
  </si>
  <si>
    <t>گروه سرمایه گذاری لقمان</t>
  </si>
  <si>
    <t>گروه سرمایه گذاری میراث فرهنگی</t>
  </si>
  <si>
    <t>مخابرات ایران</t>
  </si>
  <si>
    <t>ویتانا</t>
  </si>
  <si>
    <t>کشت و دامداری فکا</t>
  </si>
  <si>
    <t>کشت و صنعت جوین</t>
  </si>
  <si>
    <t>کشت و صنعت شهداب ناب خراسان</t>
  </si>
  <si>
    <t>کشت وصنعت بهاران گلبهار خراسان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</si>
  <si>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</si>
  <si>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</si>
  <si>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</si>
  <si>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</si>
  <si>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</si>
  <si>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</si>
  <si>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</si>
  <si>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</si>
  <si>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</si>
  <si>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سپرده کوتاه مدت بانک ملی بورس اوراق بهادار</t>
  </si>
  <si>
    <t>سپرده کوتاه مدت بانک دی حافظ</t>
  </si>
  <si>
    <t>صورت وضعیت درآمدها سورنافود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</si>
  <si>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</si>
  <si>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</si>
  <si>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</si>
  <si>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</si>
  <si>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</si>
  <si>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</si>
  <si>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</si>
  <si>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</si>
  <si>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</si>
  <si>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</si>
  <si>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</si>
  <si>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</si>
  <si>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</si>
  <si>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</si>
  <si>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</si>
  <si>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</si>
  <si>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</si>
  <si>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</si>
  <si>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</si>
  <si>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</si>
  <si>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</si>
  <si>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سرمایه گذاری مهر</t>
  </si>
  <si>
    <t>سایپا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</si>
  <si>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</si>
  <si>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</si>
  <si>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</si>
  <si>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</si>
  <si>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</si>
  <si>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</si>
  <si>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</si>
  <si>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</si>
  <si>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</si>
  <si>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</si>
  <si>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</si>
  <si>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</si>
  <si>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</si>
  <si>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</si>
  <si>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</si>
  <si>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1404/04/12</t>
  </si>
  <si>
    <t>1404/04/30</t>
  </si>
  <si>
    <t>1404/04/28</t>
  </si>
  <si>
    <t>1404/05/14</t>
  </si>
  <si>
    <t>1404/04/18</t>
  </si>
  <si>
    <t>1404/04/19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</si>
  <si>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</si>
  <si>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</si>
  <si>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</si>
  <si>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</si>
  <si>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</si>
  <si>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</si>
  <si>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</si>
  <si>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</si>
  <si>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</si>
  <si>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نام شرکت </t>
  </si>
  <si>
    <t>صندوق سرمایه گذاری بخشی صنایع سورنا- نماد سورنافود</t>
  </si>
  <si>
    <t>صورت وضعیت پرتفوی</t>
  </si>
  <si>
    <t>صندوق سرمایه گذاری بخشی صنایع سورنا- نماد سورفود</t>
  </si>
  <si>
    <t>صورت وضعیت درآمدها</t>
  </si>
  <si>
    <t xml:space="preserve">صورت وضعیت درآمدها </t>
  </si>
  <si>
    <t>صندوق سرمایه گذاری بخشی صنایع سورنا- سورنافود</t>
  </si>
  <si>
    <t>سپرده کوتاه مدت بانک خاورمیانه</t>
  </si>
  <si>
    <t xml:space="preserve">سپرده کوتاه مدت بانک ملی </t>
  </si>
  <si>
    <t xml:space="preserve">سپرده کوتاه مدت بانک دی </t>
  </si>
  <si>
    <t>کشاورزی و دامپروری بینالود</t>
  </si>
  <si>
    <t xml:space="preserve"> نشاسته و گلوکز آردینه</t>
  </si>
  <si>
    <t xml:space="preserve"> فرآورده های دامی ولبنی دالاهو</t>
  </si>
  <si>
    <t>حق تقدم دشت مرغاب</t>
  </si>
  <si>
    <t>1-2-درآمد حاصل از سرمایه­گذاری در سهام و حق تقدم سهام</t>
  </si>
  <si>
    <t>1404/07/30</t>
  </si>
  <si>
    <t>بیمه رازی</t>
  </si>
  <si>
    <t>پارس مینو</t>
  </si>
  <si>
    <t>پتروشیمی شیراز</t>
  </si>
  <si>
    <t>تهیه توزیع غذای دنا آفرین فدک</t>
  </si>
  <si>
    <t>جنرال مکانیک</t>
  </si>
  <si>
    <t>معدنی و صنعتی گل گهر</t>
  </si>
  <si>
    <t>پالایش نفت بندرعباس</t>
  </si>
  <si>
    <t>مدیریت انرژی امید تابان هور</t>
  </si>
  <si>
    <t>کشت و صنعت چین چین</t>
  </si>
  <si>
    <t>1404/.07/26</t>
  </si>
  <si>
    <t>1404/01/31</t>
  </si>
  <si>
    <t>توسعه صنایع بهشهر</t>
  </si>
  <si>
    <t>سرمایه گذاری غدیر</t>
  </si>
  <si>
    <t>صنعتی بهشهر</t>
  </si>
  <si>
    <t>بیسکویت گرجی</t>
  </si>
  <si>
    <t>کشت و صنعت و جوین</t>
  </si>
  <si>
    <t>دشت مرغاب</t>
  </si>
  <si>
    <t>سالمین</t>
  </si>
  <si>
    <t>تولیدی مهرام</t>
  </si>
  <si>
    <t>شیر پاستوریزه‌پگاه‌ گلپایگان</t>
  </si>
  <si>
    <t>1404/08/29</t>
  </si>
  <si>
    <t>بهنوش ایران</t>
  </si>
  <si>
    <t>ملی کشت و صنعت و دامپروری پارس</t>
  </si>
  <si>
    <t>صنایع غذایی رضوی</t>
  </si>
  <si>
    <t>زعفران0510نگین سحرخیز</t>
  </si>
  <si>
    <t>تولیدی کوچین</t>
  </si>
  <si>
    <t>توسعه نیشکر و صنایع جانبی</t>
  </si>
  <si>
    <t>توسعه صنایع بهشهر(هلدینگ</t>
  </si>
  <si>
    <t>شیر پاستوریزه‌پگاه‌اصفهان</t>
  </si>
  <si>
    <t>1404/10/30</t>
  </si>
  <si>
    <t>نوش پونه مشهد</t>
  </si>
  <si>
    <t>برای ماه منتهی به 1404/11/30</t>
  </si>
  <si>
    <t>1404/11/30</t>
  </si>
  <si>
    <t>شهد ایران ‌</t>
  </si>
  <si>
    <t>شهد ایران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</si>
</sst>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color rgb="FF1E90FF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262626"/>
      <name val="IRAN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35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3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3" fontId="3" fillId="0" borderId="5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center"/>
    </xf>
    <xf numFmtId="38" fontId="4" fillId="2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left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3" fontId="3" fillId="2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left"/>
    </xf>
    <xf numFmtId="3" fontId="12" fillId="0" borderId="5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left"/>
    </xf>
    <xf numFmtId="38" fontId="7" fillId="0" borderId="0" xfId="0" applyNumberFormat="1" applyFont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8" fontId="10" fillId="0" borderId="5" xfId="0" applyNumberFormat="1" applyFont="1" applyBorder="1" applyAlignment="1">
      <alignment horizontal="center" vertical="center"/>
    </xf>
    <xf numFmtId="164" fontId="4" fillId="0" borderId="0" xfId="1" applyNumberFormat="1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38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1" applyNumberFormat="1" applyFont="1" applyFill="1" applyAlignment="1">
      <alignment horizontal="left" vertical="center"/>
    </xf>
    <xf numFmtId="164" fontId="3" fillId="0" borderId="3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 wrapText="1"/>
    </xf>
    <xf numFmtId="38" fontId="4" fillId="0" borderId="0" xfId="1" applyNumberFormat="1" applyFont="1" applyFill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8" fontId="3" fillId="0" borderId="3" xfId="0" applyNumberFormat="1" applyFont="1" applyBorder="1" applyAlignment="1">
      <alignment horizontal="center" vertical="center" wrapText="1"/>
    </xf>
    <xf numFmtId="38" fontId="4" fillId="0" borderId="0" xfId="0" applyNumberFormat="1" applyFont="1" applyAlignment="1">
      <alignment horizontal="left"/>
    </xf>
    <xf numFmtId="38" fontId="12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8" fontId="4" fillId="0" borderId="5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38" fontId="12" fillId="0" borderId="7" xfId="0" applyNumberFormat="1" applyFont="1" applyBorder="1" applyAlignment="1">
      <alignment horizontal="center" vertical="center"/>
    </xf>
    <xf numFmtId="38" fontId="7" fillId="0" borderId="2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12" fillId="0" borderId="0" xfId="0" applyNumberFormat="1" applyFont="1" applyAlignment="1">
      <alignment horizontal="center" vertical="center"/>
    </xf>
    <xf numFmtId="38" fontId="6" fillId="0" borderId="5" xfId="0" applyNumberFormat="1" applyFont="1" applyBorder="1" applyAlignment="1">
      <alignment horizontal="center" vertical="center"/>
    </xf>
    <xf numFmtId="38" fontId="12" fillId="0" borderId="1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38" fontId="11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38" fontId="3" fillId="0" borderId="2" xfId="0" applyNumberFormat="1" applyFont="1" applyBorder="1" applyAlignment="1">
      <alignment horizontal="center" vertical="center"/>
    </xf>
    <xf numFmtId="38" fontId="3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9:C24"/>
  <sheetViews>
    <sheetView rightToLeft="1" tabSelected="1" view="pageBreakPreview" topLeftCell="A7" zoomScaleNormal="100" zoomScaleSheetLayoutView="100" workbookViewId="0">
      <selection activeCell="D3" sqref="D3"/>
    </sheetView>
  </sheetViews>
  <sheetFormatPr defaultRowHeight="12.75"/>
  <cols>
    <col min="1" max="1" width="31.5703125" customWidth="1"/>
    <col min="2" max="2" width="44.7109375" customWidth="1"/>
    <col min="3" max="3" width="30.7109375" customWidth="1"/>
  </cols>
  <sheetData>
    <row r="19" spans="1:3" ht="29.1" customHeight="1">
      <c r="A19" s="107" t="s">
        <v>111</v>
      </c>
      <c r="B19" s="107"/>
      <c r="C19" s="107"/>
    </row>
    <row r="20" spans="1:3" ht="21.75" customHeight="1">
      <c r="A20" s="107" t="s">
        <v>110</v>
      </c>
      <c r="B20" s="107"/>
      <c r="C20" s="107"/>
    </row>
    <row r="21" spans="1:3" ht="21.75" customHeight="1">
      <c r="A21" s="107" t="s">
        <v>155</v>
      </c>
      <c r="B21" s="107"/>
      <c r="C21" s="107"/>
    </row>
    <row r="22" spans="1:3" ht="27" customHeight="1"/>
    <row r="23" spans="1:3" ht="123.6" customHeight="1">
      <c r="B23" s="108"/>
    </row>
    <row r="24" spans="1:3" ht="123.6" customHeight="1">
      <c r="B24" s="108"/>
    </row>
  </sheetData>
  <mergeCells count="4">
    <mergeCell ref="A19:C19"/>
    <mergeCell ref="A20:C20"/>
    <mergeCell ref="A21:C21"/>
    <mergeCell ref="B23:B24"/>
  </mergeCells>
  <pageMargins left="0.39" right="0.39" top="0.39" bottom="0.39" header="0" footer="0"/>
  <pageSetup paperSize="9" scale="8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59999389629810485"/>
    <pageSetUpPr fitToPage="1"/>
  </sheetPr>
  <dimension ref="A1:U61"/>
  <sheetViews>
    <sheetView rightToLeft="1" view="pageBreakPreview" zoomScale="90" zoomScaleNormal="100" zoomScaleSheetLayoutView="90" workbookViewId="0">
      <selection activeCell="S2" sqref="S2"/>
    </sheetView>
  </sheetViews>
  <sheetFormatPr defaultRowHeight="30" customHeight="1"/>
  <cols>
    <col min="1" max="1" width="38.28515625" style="28" customWidth="1"/>
    <col min="2" max="2" width="1.28515625" style="7" customWidth="1"/>
    <col min="3" max="3" width="14.5703125" style="72" customWidth="1"/>
    <col min="4" max="4" width="1.28515625" style="72" customWidth="1"/>
    <col min="5" max="5" width="19.5703125" style="72" customWidth="1"/>
    <col min="6" max="6" width="1.28515625" style="72" customWidth="1"/>
    <col min="7" max="7" width="20.5703125" style="72" customWidth="1"/>
    <col min="8" max="8" width="1.28515625" style="7" customWidth="1"/>
    <col min="9" max="9" width="19" style="7" customWidth="1"/>
    <col min="10" max="10" width="1.28515625" style="7" customWidth="1"/>
    <col min="11" max="11" width="15.140625" style="7" customWidth="1"/>
    <col min="12" max="12" width="1.28515625" style="7" customWidth="1"/>
    <col min="13" max="13" width="19" style="7" customWidth="1"/>
    <col min="14" max="14" width="1.28515625" style="7" customWidth="1"/>
    <col min="15" max="15" width="21.5703125" style="7" customWidth="1"/>
    <col min="16" max="16" width="1.28515625" style="7" customWidth="1"/>
    <col min="17" max="17" width="19.140625" style="7" customWidth="1"/>
    <col min="18" max="18" width="0.5703125" style="80" customWidth="1"/>
    <col min="19" max="19" width="9.140625" style="80"/>
    <col min="20" max="20" width="19" style="68" bestFit="1" customWidth="1"/>
    <col min="21" max="21" width="17" style="68" bestFit="1" customWidth="1"/>
    <col min="22" max="16384" width="9.140625" style="80"/>
  </cols>
  <sheetData>
    <row r="1" spans="1:17" ht="30" customHeight="1">
      <c r="A1" s="111" t="s">
        <v>109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7" ht="30" customHeight="1">
      <c r="A2" s="111" t="s">
        <v>112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30" customHeight="1">
      <c r="A3" s="111" t="s">
        <v>155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17" ht="30" customHeight="1">
      <c r="A4" s="122" t="s">
        <v>102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7" ht="30" customHeight="1">
      <c r="A5" s="134" t="s">
        <v>57</v>
      </c>
      <c r="C5" s="113" t="s">
        <v>71</v>
      </c>
      <c r="D5" s="113"/>
      <c r="E5" s="113"/>
      <c r="F5" s="113"/>
      <c r="G5" s="113"/>
      <c r="H5" s="113"/>
      <c r="I5" s="113"/>
      <c r="K5" s="113" t="s">
        <v>72</v>
      </c>
      <c r="L5" s="113"/>
      <c r="M5" s="113"/>
      <c r="N5" s="113"/>
      <c r="O5" s="113"/>
      <c r="P5" s="113"/>
      <c r="Q5" s="113"/>
    </row>
    <row r="6" spans="1:17" ht="37.5" customHeight="1">
      <c r="A6" s="134"/>
      <c r="C6" s="69" t="s">
        <v>9</v>
      </c>
      <c r="D6" s="70"/>
      <c r="E6" s="69" t="s">
        <v>103</v>
      </c>
      <c r="F6" s="70"/>
      <c r="G6" s="69" t="s">
        <v>104</v>
      </c>
      <c r="H6" s="8"/>
      <c r="I6" s="6" t="s">
        <v>105</v>
      </c>
      <c r="K6" s="6" t="s">
        <v>9</v>
      </c>
      <c r="L6" s="8"/>
      <c r="M6" s="6" t="s">
        <v>103</v>
      </c>
      <c r="N6" s="8"/>
      <c r="O6" s="6" t="s">
        <v>104</v>
      </c>
      <c r="P6" s="8"/>
      <c r="Q6" s="6" t="s">
        <v>105</v>
      </c>
    </row>
    <row r="7" spans="1:17" ht="37.5" customHeight="1">
      <c r="A7" s="28" t="s">
        <v>37</v>
      </c>
      <c r="C7" s="71">
        <v>0</v>
      </c>
      <c r="E7" s="71">
        <v>0</v>
      </c>
      <c r="G7" s="71">
        <v>0</v>
      </c>
      <c r="I7" s="81">
        <f>E7+G7</f>
        <v>0</v>
      </c>
      <c r="K7" s="73">
        <v>100000000</v>
      </c>
      <c r="M7" s="73">
        <v>44817540720</v>
      </c>
      <c r="O7" s="52">
        <v>-52651789225</v>
      </c>
      <c r="Q7" s="52">
        <f t="shared" ref="Q7:Q51" si="0">M7+O7</f>
        <v>-7834248505</v>
      </c>
    </row>
    <row r="8" spans="1:17" ht="37.5" customHeight="1">
      <c r="A8" s="28" t="s">
        <v>31</v>
      </c>
      <c r="B8" s="79"/>
      <c r="C8" s="71">
        <v>1000000</v>
      </c>
      <c r="E8" s="71">
        <v>2926474590</v>
      </c>
      <c r="G8" s="71">
        <v>-2066393455</v>
      </c>
      <c r="I8" s="81">
        <f t="shared" ref="I8:I52" si="1">E8+G8</f>
        <v>860081135</v>
      </c>
      <c r="K8" s="73">
        <f>25699481+C8</f>
        <v>26699481</v>
      </c>
      <c r="M8" s="73">
        <f>59379594671+E8</f>
        <v>62306069261</v>
      </c>
      <c r="O8" s="52">
        <f>-46780824752+G8</f>
        <v>-48847218207</v>
      </c>
      <c r="Q8" s="52">
        <f>M8+O8</f>
        <v>13458851054</v>
      </c>
    </row>
    <row r="9" spans="1:17" ht="37.5" customHeight="1">
      <c r="A9" s="79" t="s">
        <v>120</v>
      </c>
      <c r="B9" s="79"/>
      <c r="C9" s="71">
        <v>0</v>
      </c>
      <c r="E9" s="71">
        <v>0</v>
      </c>
      <c r="G9" s="71">
        <v>0</v>
      </c>
      <c r="I9" s="81">
        <f t="shared" si="1"/>
        <v>0</v>
      </c>
      <c r="K9" s="73">
        <v>2153912</v>
      </c>
      <c r="M9" s="73">
        <v>38674406606</v>
      </c>
      <c r="O9" s="52">
        <v>-40002562234</v>
      </c>
      <c r="Q9" s="52">
        <f t="shared" si="0"/>
        <v>-1328155628</v>
      </c>
    </row>
    <row r="10" spans="1:17" ht="30" customHeight="1">
      <c r="A10" s="79" t="s">
        <v>42</v>
      </c>
      <c r="C10" s="71">
        <v>0</v>
      </c>
      <c r="E10" s="71">
        <v>0</v>
      </c>
      <c r="G10" s="74">
        <v>0</v>
      </c>
      <c r="I10" s="81">
        <f t="shared" si="1"/>
        <v>0</v>
      </c>
      <c r="K10" s="11">
        <v>1048946</v>
      </c>
      <c r="M10" s="11">
        <v>4226082477</v>
      </c>
      <c r="O10" s="52">
        <v>-5296940238</v>
      </c>
      <c r="Q10" s="52">
        <f t="shared" si="0"/>
        <v>-1070857761</v>
      </c>
    </row>
    <row r="11" spans="1:17" ht="30" customHeight="1">
      <c r="A11" s="79" t="s">
        <v>39</v>
      </c>
      <c r="B11" s="79"/>
      <c r="C11" s="71">
        <v>0</v>
      </c>
      <c r="E11" s="71">
        <v>0</v>
      </c>
      <c r="G11" s="74">
        <v>0</v>
      </c>
      <c r="I11" s="81">
        <f t="shared" si="1"/>
        <v>0</v>
      </c>
      <c r="K11" s="11">
        <v>10000000</v>
      </c>
      <c r="M11" s="11">
        <v>39197836377</v>
      </c>
      <c r="O11" s="52">
        <v>-37200059888</v>
      </c>
      <c r="Q11" s="52">
        <f t="shared" si="0"/>
        <v>1997776489</v>
      </c>
    </row>
    <row r="12" spans="1:17" ht="30" customHeight="1">
      <c r="A12" s="79" t="s">
        <v>136</v>
      </c>
      <c r="B12" s="79"/>
      <c r="C12" s="71">
        <v>0</v>
      </c>
      <c r="E12" s="71">
        <v>0</v>
      </c>
      <c r="G12" s="74">
        <v>0</v>
      </c>
      <c r="I12" s="81">
        <f t="shared" si="1"/>
        <v>0</v>
      </c>
      <c r="K12" s="11">
        <v>2800000</v>
      </c>
      <c r="M12" s="11">
        <v>27545419619</v>
      </c>
      <c r="O12" s="52">
        <v>-25407556287</v>
      </c>
      <c r="Q12" s="52">
        <f t="shared" si="0"/>
        <v>2137863332</v>
      </c>
    </row>
    <row r="13" spans="1:17" ht="30" customHeight="1">
      <c r="A13" s="79" t="s">
        <v>119</v>
      </c>
      <c r="B13" s="79"/>
      <c r="C13" s="71">
        <v>0</v>
      </c>
      <c r="E13" s="71">
        <v>0</v>
      </c>
      <c r="G13" s="74">
        <v>0</v>
      </c>
      <c r="I13" s="81">
        <f t="shared" si="1"/>
        <v>0</v>
      </c>
      <c r="K13" s="11">
        <v>3255168</v>
      </c>
      <c r="M13" s="11">
        <v>56727241315</v>
      </c>
      <c r="O13" s="52">
        <v>-52528101876</v>
      </c>
      <c r="Q13" s="52">
        <f t="shared" si="0"/>
        <v>4199139439</v>
      </c>
    </row>
    <row r="14" spans="1:17" ht="30" customHeight="1">
      <c r="A14" s="28" t="s">
        <v>17</v>
      </c>
      <c r="C14" s="71">
        <v>0</v>
      </c>
      <c r="E14" s="71">
        <v>0</v>
      </c>
      <c r="G14" s="74">
        <v>0</v>
      </c>
      <c r="I14" s="81">
        <f t="shared" si="1"/>
        <v>0</v>
      </c>
      <c r="K14" s="11">
        <v>462999961</v>
      </c>
      <c r="M14" s="11">
        <v>215794223867</v>
      </c>
      <c r="O14" s="52">
        <v>-229212492440</v>
      </c>
      <c r="Q14" s="52">
        <f t="shared" si="0"/>
        <v>-13418268573</v>
      </c>
    </row>
    <row r="15" spans="1:17" ht="30" customHeight="1">
      <c r="A15" s="79" t="s">
        <v>129</v>
      </c>
      <c r="B15" s="79"/>
      <c r="C15" s="71">
        <v>0</v>
      </c>
      <c r="E15" s="71">
        <v>0</v>
      </c>
      <c r="G15" s="74">
        <v>0</v>
      </c>
      <c r="I15" s="81">
        <f t="shared" si="1"/>
        <v>0</v>
      </c>
      <c r="K15" s="11">
        <v>19600000</v>
      </c>
      <c r="M15" s="11">
        <v>38966760000</v>
      </c>
      <c r="O15" s="52">
        <v>-34534017579</v>
      </c>
      <c r="Q15" s="52">
        <f t="shared" si="0"/>
        <v>4432742421</v>
      </c>
    </row>
    <row r="16" spans="1:17" ht="30" customHeight="1">
      <c r="A16" s="79" t="s">
        <v>126</v>
      </c>
      <c r="B16" s="79"/>
      <c r="C16" s="71">
        <v>0</v>
      </c>
      <c r="E16" s="71">
        <v>0</v>
      </c>
      <c r="G16" s="74">
        <v>0</v>
      </c>
      <c r="I16" s="81">
        <f t="shared" si="1"/>
        <v>0</v>
      </c>
      <c r="K16" s="11">
        <v>1000000</v>
      </c>
      <c r="M16" s="11">
        <v>35800078668</v>
      </c>
      <c r="O16" s="52">
        <v>-32660280569</v>
      </c>
      <c r="Q16" s="52">
        <f t="shared" si="0"/>
        <v>3139798099</v>
      </c>
    </row>
    <row r="17" spans="1:17" ht="30" customHeight="1">
      <c r="A17" s="79" t="s">
        <v>35</v>
      </c>
      <c r="B17" s="79"/>
      <c r="C17" s="71">
        <v>0</v>
      </c>
      <c r="E17" s="71">
        <v>0</v>
      </c>
      <c r="G17" s="74">
        <v>0</v>
      </c>
      <c r="I17" s="81">
        <f t="shared" si="1"/>
        <v>0</v>
      </c>
      <c r="K17" s="11">
        <v>9060000</v>
      </c>
      <c r="M17" s="11">
        <v>16407243969</v>
      </c>
      <c r="O17" s="52">
        <v>-15913766331</v>
      </c>
      <c r="Q17" s="52">
        <f t="shared" si="0"/>
        <v>493477638</v>
      </c>
    </row>
    <row r="18" spans="1:17" ht="30" customHeight="1">
      <c r="A18" s="79" t="s">
        <v>135</v>
      </c>
      <c r="B18" s="79"/>
      <c r="C18" s="71">
        <v>2052617</v>
      </c>
      <c r="E18" s="71">
        <v>13607490367</v>
      </c>
      <c r="G18" s="74">
        <v>-13364645727</v>
      </c>
      <c r="I18" s="81">
        <f t="shared" si="1"/>
        <v>242844640</v>
      </c>
      <c r="K18" s="11">
        <f>13610000+C18</f>
        <v>15662617</v>
      </c>
      <c r="M18" s="11">
        <f>82722407593+E18</f>
        <v>96329897960</v>
      </c>
      <c r="O18" s="52">
        <f>-88615084219+G18</f>
        <v>-101979729946</v>
      </c>
      <c r="Q18" s="52">
        <f>M18+O18+2013000</f>
        <v>-5647818986</v>
      </c>
    </row>
    <row r="19" spans="1:17" ht="30" customHeight="1">
      <c r="A19" s="79" t="s">
        <v>130</v>
      </c>
      <c r="B19" s="79"/>
      <c r="C19" s="71">
        <v>0</v>
      </c>
      <c r="E19" s="71">
        <v>0</v>
      </c>
      <c r="G19" s="74">
        <v>0</v>
      </c>
      <c r="I19" s="81">
        <f t="shared" si="1"/>
        <v>0</v>
      </c>
      <c r="K19" s="11">
        <v>500000</v>
      </c>
      <c r="M19" s="11">
        <v>5276069489</v>
      </c>
      <c r="O19" s="52">
        <v>-5247279529</v>
      </c>
      <c r="Q19" s="52">
        <f t="shared" si="0"/>
        <v>28789960</v>
      </c>
    </row>
    <row r="20" spans="1:17" ht="30" customHeight="1">
      <c r="A20" s="28" t="s">
        <v>150</v>
      </c>
      <c r="C20" s="71">
        <v>0</v>
      </c>
      <c r="E20" s="71">
        <v>0</v>
      </c>
      <c r="G20" s="74">
        <v>0</v>
      </c>
      <c r="I20" s="81">
        <f t="shared" si="1"/>
        <v>0</v>
      </c>
      <c r="K20" s="11">
        <v>2218012</v>
      </c>
      <c r="M20" s="11">
        <v>104876670912</v>
      </c>
      <c r="O20" s="52">
        <v>-114873740426</v>
      </c>
      <c r="Q20" s="52">
        <f t="shared" si="0"/>
        <v>-9997069514</v>
      </c>
    </row>
    <row r="21" spans="1:17" ht="30" customHeight="1">
      <c r="A21" s="28" t="s">
        <v>24</v>
      </c>
      <c r="C21" s="71">
        <v>2800000</v>
      </c>
      <c r="E21" s="71">
        <v>43052853817</v>
      </c>
      <c r="G21" s="74">
        <v>-36254370369</v>
      </c>
      <c r="I21" s="81">
        <f t="shared" si="1"/>
        <v>6798483448</v>
      </c>
      <c r="K21" s="11">
        <f>14314776+C21</f>
        <v>17114776</v>
      </c>
      <c r="M21" s="11">
        <f>119709013331+E21</f>
        <v>162761867148</v>
      </c>
      <c r="O21" s="52">
        <f>-103463375323+G21</f>
        <v>-139717745692</v>
      </c>
      <c r="Q21" s="52">
        <f>M21+O21</f>
        <v>23044121456</v>
      </c>
    </row>
    <row r="22" spans="1:17" ht="30" customHeight="1">
      <c r="A22" s="28" t="s">
        <v>25</v>
      </c>
      <c r="C22" s="71">
        <v>300000</v>
      </c>
      <c r="E22" s="71">
        <v>723118326</v>
      </c>
      <c r="G22" s="74">
        <v>-609984004</v>
      </c>
      <c r="I22" s="81">
        <f t="shared" si="1"/>
        <v>113134322</v>
      </c>
      <c r="K22" s="11">
        <f>29544995+C22</f>
        <v>29844995</v>
      </c>
      <c r="M22" s="11">
        <f>57358180296+E22</f>
        <v>58081298622</v>
      </c>
      <c r="O22" s="52">
        <f>-49541708415+G22</f>
        <v>-50151692419</v>
      </c>
      <c r="Q22" s="52">
        <f t="shared" si="0"/>
        <v>7929606203</v>
      </c>
    </row>
    <row r="23" spans="1:17" ht="30" customHeight="1">
      <c r="A23" s="28" t="s">
        <v>32</v>
      </c>
      <c r="C23" s="71">
        <v>1500000</v>
      </c>
      <c r="E23" s="71">
        <v>10106270006</v>
      </c>
      <c r="G23" s="74">
        <v>-9217147200</v>
      </c>
      <c r="I23" s="81">
        <f t="shared" si="1"/>
        <v>889122806</v>
      </c>
      <c r="K23" s="11">
        <f>451474+C23</f>
        <v>1951474</v>
      </c>
      <c r="M23" s="11">
        <f>3467652730+E23</f>
        <v>13573922736</v>
      </c>
      <c r="O23" s="52">
        <f>-3895458604+G23</f>
        <v>-13112605804</v>
      </c>
      <c r="Q23" s="52">
        <f t="shared" si="0"/>
        <v>461316932</v>
      </c>
    </row>
    <row r="24" spans="1:17" ht="30" customHeight="1">
      <c r="A24" s="28" t="s">
        <v>137</v>
      </c>
      <c r="C24" s="71">
        <v>0</v>
      </c>
      <c r="E24" s="71">
        <v>0</v>
      </c>
      <c r="G24" s="74">
        <v>0</v>
      </c>
      <c r="I24" s="81">
        <f t="shared" si="1"/>
        <v>0</v>
      </c>
      <c r="K24" s="11">
        <v>17984648</v>
      </c>
      <c r="M24" s="11">
        <v>35011692744</v>
      </c>
      <c r="O24" s="52">
        <v>-47304233707</v>
      </c>
      <c r="Q24" s="52">
        <f t="shared" si="0"/>
        <v>-12292540963</v>
      </c>
    </row>
    <row r="25" spans="1:17" ht="30" customHeight="1">
      <c r="A25" s="28" t="s">
        <v>41</v>
      </c>
      <c r="C25" s="71">
        <v>0</v>
      </c>
      <c r="E25" s="71">
        <v>0</v>
      </c>
      <c r="G25" s="74">
        <v>0</v>
      </c>
      <c r="I25" s="81">
        <f t="shared" si="1"/>
        <v>0</v>
      </c>
      <c r="K25" s="11">
        <v>13500000</v>
      </c>
      <c r="M25" s="11">
        <v>16208492199</v>
      </c>
      <c r="O25" s="52">
        <v>-20934693000</v>
      </c>
      <c r="Q25" s="52">
        <f t="shared" si="0"/>
        <v>-4726200801</v>
      </c>
    </row>
    <row r="26" spans="1:17" ht="30" customHeight="1">
      <c r="A26" s="28" t="s">
        <v>36</v>
      </c>
      <c r="C26" s="71">
        <v>0</v>
      </c>
      <c r="E26" s="71">
        <v>0</v>
      </c>
      <c r="G26" s="74">
        <v>0</v>
      </c>
      <c r="I26" s="81">
        <f t="shared" si="1"/>
        <v>0</v>
      </c>
      <c r="K26" s="11">
        <v>14860116</v>
      </c>
      <c r="M26" s="11">
        <v>41724791220</v>
      </c>
      <c r="O26" s="52">
        <v>-49618134622</v>
      </c>
      <c r="Q26" s="52">
        <f t="shared" si="0"/>
        <v>-7893343402</v>
      </c>
    </row>
    <row r="27" spans="1:17" ht="30" customHeight="1">
      <c r="A27" s="28" t="s">
        <v>18</v>
      </c>
      <c r="C27" s="71">
        <v>0</v>
      </c>
      <c r="E27" s="71">
        <v>0</v>
      </c>
      <c r="G27" s="74">
        <v>0</v>
      </c>
      <c r="I27" s="81">
        <f t="shared" si="1"/>
        <v>0</v>
      </c>
      <c r="K27" s="11">
        <v>3582075</v>
      </c>
      <c r="M27" s="11">
        <v>20177660650</v>
      </c>
      <c r="O27" s="52">
        <v>-17013184859</v>
      </c>
      <c r="Q27" s="52">
        <f t="shared" si="0"/>
        <v>3164475791</v>
      </c>
    </row>
    <row r="28" spans="1:17" ht="30" customHeight="1">
      <c r="A28" s="28" t="s">
        <v>138</v>
      </c>
      <c r="C28" s="71">
        <v>0</v>
      </c>
      <c r="E28" s="71">
        <v>0</v>
      </c>
      <c r="G28" s="74">
        <v>0</v>
      </c>
      <c r="I28" s="81">
        <f t="shared" si="1"/>
        <v>0</v>
      </c>
      <c r="K28" s="11">
        <v>4976344</v>
      </c>
      <c r="M28" s="11">
        <v>6215020359</v>
      </c>
      <c r="O28" s="52">
        <v>-7365688047</v>
      </c>
      <c r="Q28" s="52">
        <f t="shared" si="0"/>
        <v>-1150667688</v>
      </c>
    </row>
    <row r="29" spans="1:17" ht="30" customHeight="1">
      <c r="A29" s="28" t="s">
        <v>131</v>
      </c>
      <c r="C29" s="71">
        <v>0</v>
      </c>
      <c r="E29" s="71">
        <v>0</v>
      </c>
      <c r="G29" s="74">
        <v>0</v>
      </c>
      <c r="I29" s="81">
        <f t="shared" si="1"/>
        <v>0</v>
      </c>
      <c r="K29" s="11">
        <v>62000000</v>
      </c>
      <c r="M29" s="11">
        <v>108595311333</v>
      </c>
      <c r="O29" s="52">
        <v>-126960066000</v>
      </c>
      <c r="Q29" s="52">
        <f t="shared" si="0"/>
        <v>-18364754667</v>
      </c>
    </row>
    <row r="30" spans="1:17" ht="30" customHeight="1">
      <c r="A30" s="28" t="s">
        <v>34</v>
      </c>
      <c r="C30" s="71">
        <v>0</v>
      </c>
      <c r="E30" s="71">
        <v>0</v>
      </c>
      <c r="G30" s="74">
        <v>0</v>
      </c>
      <c r="I30" s="81">
        <f t="shared" si="1"/>
        <v>0</v>
      </c>
      <c r="K30" s="11">
        <v>600000</v>
      </c>
      <c r="M30" s="11">
        <v>13179268839</v>
      </c>
      <c r="O30" s="52">
        <v>-14701999500</v>
      </c>
      <c r="Q30" s="52">
        <f t="shared" si="0"/>
        <v>-1522730661</v>
      </c>
    </row>
    <row r="31" spans="1:17" ht="30" customHeight="1">
      <c r="A31" s="28" t="s">
        <v>152</v>
      </c>
      <c r="C31" s="71">
        <v>0</v>
      </c>
      <c r="E31" s="71">
        <v>0</v>
      </c>
      <c r="G31" s="74">
        <v>0</v>
      </c>
      <c r="I31" s="81">
        <f t="shared" si="1"/>
        <v>0</v>
      </c>
      <c r="K31" s="11">
        <v>3510946</v>
      </c>
      <c r="M31" s="11">
        <v>26082188987</v>
      </c>
      <c r="O31" s="52">
        <v>-25782749058</v>
      </c>
      <c r="Q31" s="52">
        <f t="shared" si="0"/>
        <v>299439929</v>
      </c>
    </row>
    <row r="32" spans="1:17" ht="30" customHeight="1">
      <c r="A32" s="28" t="s">
        <v>139</v>
      </c>
      <c r="C32" s="71">
        <v>0</v>
      </c>
      <c r="E32" s="71">
        <v>0</v>
      </c>
      <c r="G32" s="74">
        <v>0</v>
      </c>
      <c r="I32" s="81">
        <f t="shared" si="1"/>
        <v>0</v>
      </c>
      <c r="K32" s="11">
        <v>2134406</v>
      </c>
      <c r="M32" s="11">
        <v>7506075569</v>
      </c>
      <c r="O32" s="52">
        <v>-7572124080</v>
      </c>
      <c r="Q32" s="52">
        <f t="shared" si="0"/>
        <v>-66048511</v>
      </c>
    </row>
    <row r="33" spans="1:17" ht="30" customHeight="1">
      <c r="A33" s="28" t="s">
        <v>20</v>
      </c>
      <c r="C33" s="71">
        <v>0</v>
      </c>
      <c r="E33" s="71">
        <v>0</v>
      </c>
      <c r="G33" s="74">
        <v>0</v>
      </c>
      <c r="I33" s="81">
        <f t="shared" si="1"/>
        <v>0</v>
      </c>
      <c r="K33" s="11">
        <v>5768862</v>
      </c>
      <c r="M33" s="11">
        <v>43081334848</v>
      </c>
      <c r="O33" s="52">
        <v>-49947819641</v>
      </c>
      <c r="Q33" s="52">
        <f t="shared" si="0"/>
        <v>-6866484793</v>
      </c>
    </row>
    <row r="34" spans="1:17" ht="30" customHeight="1">
      <c r="A34" s="28" t="s">
        <v>23</v>
      </c>
      <c r="C34" s="71">
        <v>1388509</v>
      </c>
      <c r="E34" s="71">
        <v>4641913834</v>
      </c>
      <c r="G34" s="74">
        <v>-4999810143</v>
      </c>
      <c r="I34" s="81">
        <f t="shared" si="1"/>
        <v>-357896309</v>
      </c>
      <c r="K34" s="11">
        <f>3592451+C34</f>
        <v>4980960</v>
      </c>
      <c r="M34" s="11">
        <f>11382593385+E34</f>
        <v>16024507219</v>
      </c>
      <c r="O34" s="52">
        <f>-12542423352+G34</f>
        <v>-17542233495</v>
      </c>
      <c r="Q34" s="52">
        <f t="shared" si="0"/>
        <v>-1517726276</v>
      </c>
    </row>
    <row r="35" spans="1:17" ht="30" customHeight="1">
      <c r="A35" s="28" t="s">
        <v>121</v>
      </c>
      <c r="C35" s="71">
        <v>0</v>
      </c>
      <c r="E35" s="71">
        <v>0</v>
      </c>
      <c r="G35" s="74">
        <v>0</v>
      </c>
      <c r="I35" s="81">
        <f t="shared" si="1"/>
        <v>0</v>
      </c>
      <c r="K35" s="11">
        <v>771428</v>
      </c>
      <c r="M35" s="11">
        <v>2180826956</v>
      </c>
      <c r="O35" s="52">
        <v>-2094234587</v>
      </c>
      <c r="Q35" s="52">
        <f t="shared" si="0"/>
        <v>86592369</v>
      </c>
    </row>
    <row r="36" spans="1:17" ht="30" customHeight="1">
      <c r="A36" s="28" t="s">
        <v>29</v>
      </c>
      <c r="C36" s="71">
        <v>15000000</v>
      </c>
      <c r="E36" s="71">
        <v>128588269996</v>
      </c>
      <c r="G36" s="74">
        <v>-64219624698</v>
      </c>
      <c r="I36" s="81">
        <f t="shared" si="1"/>
        <v>64368645298</v>
      </c>
      <c r="K36" s="11">
        <f>4500000+C36</f>
        <v>19500000</v>
      </c>
      <c r="M36" s="11">
        <f>20702418432+E36</f>
        <v>149290688428</v>
      </c>
      <c r="O36" s="52">
        <f>-17683177198+G36</f>
        <v>-81902801896</v>
      </c>
      <c r="Q36" s="52">
        <f>M36+O36</f>
        <v>67387886532</v>
      </c>
    </row>
    <row r="37" spans="1:17" ht="30" customHeight="1">
      <c r="A37" s="28" t="s">
        <v>38</v>
      </c>
      <c r="C37" s="71">
        <v>710000</v>
      </c>
      <c r="E37" s="71">
        <v>1582120499</v>
      </c>
      <c r="G37" s="74">
        <v>-1641975705</v>
      </c>
      <c r="I37" s="81">
        <f t="shared" si="1"/>
        <v>-59855206</v>
      </c>
      <c r="K37" s="11">
        <f>8950000+C37</f>
        <v>9660000</v>
      </c>
      <c r="M37" s="11">
        <f>23808571553+E37</f>
        <v>25390692052</v>
      </c>
      <c r="O37" s="52">
        <f>-22196164532+G37</f>
        <v>-23838140237</v>
      </c>
      <c r="Q37" s="52">
        <f t="shared" si="0"/>
        <v>1552551815</v>
      </c>
    </row>
    <row r="38" spans="1:17" ht="30" customHeight="1">
      <c r="A38" s="28" t="s">
        <v>26</v>
      </c>
      <c r="C38" s="71">
        <v>0</v>
      </c>
      <c r="E38" s="71">
        <v>0</v>
      </c>
      <c r="G38" s="74">
        <v>0</v>
      </c>
      <c r="I38" s="81">
        <f t="shared" si="1"/>
        <v>0</v>
      </c>
      <c r="K38" s="11">
        <v>2427680</v>
      </c>
      <c r="M38" s="11">
        <v>11248134819</v>
      </c>
      <c r="O38" s="52">
        <v>-10642367690</v>
      </c>
      <c r="Q38" s="52">
        <f t="shared" si="0"/>
        <v>605767129</v>
      </c>
    </row>
    <row r="39" spans="1:17" ht="30" customHeight="1">
      <c r="A39" s="28" t="s">
        <v>125</v>
      </c>
      <c r="C39" s="71">
        <v>400000</v>
      </c>
      <c r="E39" s="71">
        <v>2395339815</v>
      </c>
      <c r="G39" s="74">
        <v>-1374756907</v>
      </c>
      <c r="I39" s="81">
        <f t="shared" si="1"/>
        <v>1020582908</v>
      </c>
      <c r="K39" s="11">
        <f>4989384+C39</f>
        <v>5389384</v>
      </c>
      <c r="M39" s="11">
        <f>23009040980+E39</f>
        <v>25404380795</v>
      </c>
      <c r="O39" s="52">
        <f>-19948041209+G39</f>
        <v>-21322798116</v>
      </c>
      <c r="Q39" s="52">
        <f t="shared" si="0"/>
        <v>4081582679</v>
      </c>
    </row>
    <row r="40" spans="1:17" ht="30" customHeight="1">
      <c r="A40" s="28" t="s">
        <v>132</v>
      </c>
      <c r="C40" s="71">
        <v>0</v>
      </c>
      <c r="E40" s="71">
        <v>0</v>
      </c>
      <c r="G40" s="74">
        <v>0</v>
      </c>
      <c r="I40" s="81">
        <f t="shared" si="1"/>
        <v>0</v>
      </c>
      <c r="K40" s="11">
        <v>722225</v>
      </c>
      <c r="M40" s="11">
        <v>2075485620</v>
      </c>
      <c r="O40" s="52">
        <v>-2651220755</v>
      </c>
      <c r="Q40" s="52">
        <f t="shared" si="0"/>
        <v>-575735135</v>
      </c>
    </row>
    <row r="41" spans="1:17" ht="30" customHeight="1">
      <c r="A41" s="28" t="s">
        <v>76</v>
      </c>
      <c r="C41" s="71">
        <v>0</v>
      </c>
      <c r="E41" s="71">
        <v>0</v>
      </c>
      <c r="G41" s="74">
        <v>0</v>
      </c>
      <c r="I41" s="81">
        <f t="shared" si="1"/>
        <v>0</v>
      </c>
      <c r="K41" s="11">
        <v>208</v>
      </c>
      <c r="M41" s="11">
        <v>685833</v>
      </c>
      <c r="O41" s="52">
        <v>-867988</v>
      </c>
      <c r="Q41" s="52">
        <f t="shared" si="0"/>
        <v>-182155</v>
      </c>
    </row>
    <row r="42" spans="1:17" ht="30" customHeight="1">
      <c r="A42" s="28" t="s">
        <v>77</v>
      </c>
      <c r="C42" s="71">
        <v>0</v>
      </c>
      <c r="E42" s="71">
        <v>0</v>
      </c>
      <c r="G42" s="74">
        <v>0</v>
      </c>
      <c r="I42" s="81">
        <f t="shared" si="1"/>
        <v>0</v>
      </c>
      <c r="K42" s="11">
        <v>41000000</v>
      </c>
      <c r="M42" s="11">
        <v>16699048634</v>
      </c>
      <c r="O42" s="52">
        <v>-16247863502</v>
      </c>
      <c r="Q42" s="52">
        <f t="shared" si="0"/>
        <v>451185132</v>
      </c>
    </row>
    <row r="43" spans="1:17" ht="30" customHeight="1">
      <c r="A43" s="28" t="s">
        <v>19</v>
      </c>
      <c r="C43" s="71">
        <v>0</v>
      </c>
      <c r="E43" s="71">
        <v>0</v>
      </c>
      <c r="G43" s="74">
        <v>0</v>
      </c>
      <c r="I43" s="81">
        <f t="shared" si="1"/>
        <v>0</v>
      </c>
      <c r="K43" s="11">
        <v>2200000</v>
      </c>
      <c r="M43" s="11">
        <v>64345807836</v>
      </c>
      <c r="O43" s="52">
        <v>-62253147584</v>
      </c>
      <c r="Q43" s="52">
        <f t="shared" si="0"/>
        <v>2092660252</v>
      </c>
    </row>
    <row r="44" spans="1:17" ht="30" customHeight="1">
      <c r="A44" s="28" t="s">
        <v>118</v>
      </c>
      <c r="C44" s="71">
        <v>0</v>
      </c>
      <c r="E44" s="71">
        <v>0</v>
      </c>
      <c r="G44" s="74">
        <v>0</v>
      </c>
      <c r="I44" s="81">
        <f t="shared" si="1"/>
        <v>0</v>
      </c>
      <c r="K44" s="11">
        <v>1435203</v>
      </c>
      <c r="M44" s="11">
        <v>8310026303</v>
      </c>
      <c r="O44" s="52">
        <v>-6564256557</v>
      </c>
      <c r="Q44" s="52">
        <f t="shared" si="0"/>
        <v>1745769746</v>
      </c>
    </row>
    <row r="45" spans="1:17" ht="30" customHeight="1">
      <c r="A45" s="28" t="s">
        <v>16</v>
      </c>
      <c r="C45" s="71">
        <v>1700000</v>
      </c>
      <c r="E45" s="71">
        <v>13052385145</v>
      </c>
      <c r="G45" s="74">
        <v>-11940647993</v>
      </c>
      <c r="I45" s="81">
        <f t="shared" si="1"/>
        <v>1111737152</v>
      </c>
      <c r="K45" s="11">
        <f>8000000+C45</f>
        <v>9700000</v>
      </c>
      <c r="M45" s="11">
        <f>64983762632+E45</f>
        <v>78036147777</v>
      </c>
      <c r="O45" s="52">
        <f>-54254115911+G45</f>
        <v>-66194763904</v>
      </c>
      <c r="Q45" s="52">
        <f>M45+O45</f>
        <v>11841383873</v>
      </c>
    </row>
    <row r="46" spans="1:17" ht="30" customHeight="1">
      <c r="A46" s="28" t="s">
        <v>30</v>
      </c>
      <c r="C46" s="71">
        <v>1000000</v>
      </c>
      <c r="E46" s="71">
        <v>7477515274</v>
      </c>
      <c r="G46" s="74">
        <v>-4674111456</v>
      </c>
      <c r="I46" s="81">
        <f t="shared" si="1"/>
        <v>2803403818</v>
      </c>
      <c r="K46" s="11">
        <f>C46</f>
        <v>1000000</v>
      </c>
      <c r="M46" s="11">
        <f>E46</f>
        <v>7477515274</v>
      </c>
      <c r="O46" s="52">
        <f>G46</f>
        <v>-4674111456</v>
      </c>
      <c r="Q46" s="52">
        <f>M46+O46</f>
        <v>2803403818</v>
      </c>
    </row>
    <row r="47" spans="1:17" ht="30" customHeight="1">
      <c r="A47" s="28" t="s">
        <v>145</v>
      </c>
      <c r="C47" s="71">
        <v>40000</v>
      </c>
      <c r="E47" s="71">
        <v>3700106041</v>
      </c>
      <c r="G47" s="74">
        <v>-2808497881</v>
      </c>
      <c r="I47" s="81">
        <f t="shared" si="1"/>
        <v>891608160</v>
      </c>
      <c r="K47" s="11">
        <f>546440+C47</f>
        <v>586440</v>
      </c>
      <c r="M47" s="11">
        <f>47067290321+E47</f>
        <v>50767396362</v>
      </c>
      <c r="O47" s="52">
        <f>-38366889561+G47</f>
        <v>-41175387442</v>
      </c>
      <c r="Q47" s="52">
        <f t="shared" si="0"/>
        <v>9592008920</v>
      </c>
    </row>
    <row r="48" spans="1:17" ht="30" customHeight="1">
      <c r="A48" s="28" t="s">
        <v>147</v>
      </c>
      <c r="C48" s="71">
        <v>0</v>
      </c>
      <c r="E48" s="71">
        <v>0</v>
      </c>
      <c r="G48" s="74">
        <v>0</v>
      </c>
      <c r="I48" s="81">
        <f t="shared" si="1"/>
        <v>0</v>
      </c>
      <c r="K48" s="11">
        <v>5095879</v>
      </c>
      <c r="M48" s="11">
        <v>22282428762</v>
      </c>
      <c r="O48" s="52">
        <v>-17877080900</v>
      </c>
      <c r="Q48" s="52">
        <f t="shared" si="0"/>
        <v>4405347862</v>
      </c>
    </row>
    <row r="49" spans="1:21" ht="30" customHeight="1">
      <c r="A49" s="28" t="s">
        <v>141</v>
      </c>
      <c r="C49" s="71">
        <v>829530</v>
      </c>
      <c r="E49" s="71">
        <v>4279303779</v>
      </c>
      <c r="G49" s="74">
        <v>-3328860118</v>
      </c>
      <c r="I49" s="81">
        <f>E49+G49</f>
        <v>950443661</v>
      </c>
      <c r="K49" s="11">
        <f>536379+C49</f>
        <v>1365909</v>
      </c>
      <c r="M49" s="11">
        <f>3062440667+E49</f>
        <v>7341744446</v>
      </c>
      <c r="O49" s="52">
        <f>-2152460625+G49</f>
        <v>-5481320743</v>
      </c>
      <c r="Q49" s="52">
        <f t="shared" si="0"/>
        <v>1860423703</v>
      </c>
    </row>
    <row r="50" spans="1:21" ht="30" customHeight="1">
      <c r="A50" s="28" t="s">
        <v>146</v>
      </c>
      <c r="C50" s="71">
        <v>0</v>
      </c>
      <c r="E50" s="71">
        <v>0</v>
      </c>
      <c r="G50" s="74">
        <v>0</v>
      </c>
      <c r="I50" s="81">
        <f t="shared" si="1"/>
        <v>0</v>
      </c>
      <c r="K50" s="11">
        <v>165791</v>
      </c>
      <c r="M50" s="11">
        <v>3850579140</v>
      </c>
      <c r="O50" s="52">
        <v>-3276730593</v>
      </c>
      <c r="Q50" s="52">
        <f t="shared" si="0"/>
        <v>573848547</v>
      </c>
    </row>
    <row r="51" spans="1:21" ht="30" customHeight="1">
      <c r="A51" s="28" t="s">
        <v>124</v>
      </c>
      <c r="C51" s="71">
        <v>0</v>
      </c>
      <c r="E51" s="71">
        <v>0</v>
      </c>
      <c r="G51" s="74">
        <v>0</v>
      </c>
      <c r="I51" s="81">
        <f t="shared" si="1"/>
        <v>0</v>
      </c>
      <c r="K51" s="11">
        <v>4713645</v>
      </c>
      <c r="M51" s="11">
        <v>5477011227</v>
      </c>
      <c r="O51" s="52">
        <v>-3533725760</v>
      </c>
      <c r="Q51" s="52">
        <f t="shared" si="0"/>
        <v>1943285467</v>
      </c>
    </row>
    <row r="52" spans="1:21" ht="30" customHeight="1">
      <c r="A52" s="28" t="s">
        <v>142</v>
      </c>
      <c r="C52" s="71">
        <v>1</v>
      </c>
      <c r="E52" s="71">
        <v>1</v>
      </c>
      <c r="G52" s="74">
        <v>-7136</v>
      </c>
      <c r="I52" s="81">
        <f t="shared" si="1"/>
        <v>-7135</v>
      </c>
      <c r="K52" s="11">
        <f>500000+C52</f>
        <v>500001</v>
      </c>
      <c r="M52" s="11">
        <f>8166382187+E52</f>
        <v>8166382188</v>
      </c>
      <c r="O52" s="52">
        <f>-5575135781+I52</f>
        <v>-5575142916</v>
      </c>
      <c r="Q52" s="52">
        <f>M52+O52-1</f>
        <v>2591239271</v>
      </c>
    </row>
    <row r="53" spans="1:21" s="83" customFormat="1" ht="30" customHeight="1" thickBot="1">
      <c r="A53" s="82" t="s">
        <v>43</v>
      </c>
      <c r="B53" s="20"/>
      <c r="C53" s="75">
        <f>SUM(C7:C52)</f>
        <v>28720657</v>
      </c>
      <c r="D53" s="76"/>
      <c r="E53" s="75">
        <f>SUM(E7:E52)</f>
        <v>236133161490</v>
      </c>
      <c r="F53" s="76"/>
      <c r="G53" s="54">
        <f>SUM(G7:G52)</f>
        <v>-156500832792</v>
      </c>
      <c r="H53" s="20"/>
      <c r="I53" s="54">
        <f>SUM(I7:I52)</f>
        <v>79632328698</v>
      </c>
      <c r="J53" s="20"/>
      <c r="K53" s="22">
        <f>SUM(K7:K52)</f>
        <v>946041492</v>
      </c>
      <c r="L53" s="20"/>
      <c r="M53" s="22">
        <f>SUM(M7:M52)</f>
        <v>1843513956165</v>
      </c>
      <c r="N53" s="20"/>
      <c r="O53" s="54">
        <f>SUM(O7:O52)</f>
        <v>-1759386467325</v>
      </c>
      <c r="P53" s="20"/>
      <c r="Q53" s="54">
        <f>SUM(Q7:Q52)</f>
        <v>84129501839</v>
      </c>
      <c r="T53" s="77"/>
      <c r="U53" s="77"/>
    </row>
    <row r="54" spans="1:21" ht="30" customHeight="1" thickTop="1"/>
    <row r="57" spans="1:21" ht="30" customHeight="1">
      <c r="I57" s="11"/>
      <c r="Q57" s="11"/>
    </row>
    <row r="58" spans="1:21" ht="30" customHeight="1">
      <c r="I58" s="11"/>
      <c r="M58" s="11"/>
      <c r="Q58" s="11"/>
    </row>
    <row r="59" spans="1:21" ht="30" customHeight="1">
      <c r="I59" s="11"/>
      <c r="Q59" s="11"/>
    </row>
    <row r="61" spans="1:21" ht="30" customHeight="1">
      <c r="I61" s="11"/>
    </row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59999389629810485"/>
    <pageSetUpPr fitToPage="1"/>
  </sheetPr>
  <dimension ref="A1:S49"/>
  <sheetViews>
    <sheetView rightToLeft="1" view="pageBreakPreview" zoomScale="80" zoomScaleNormal="100" zoomScaleSheetLayoutView="80" workbookViewId="0">
      <selection activeCell="R2" sqref="R2"/>
    </sheetView>
  </sheetViews>
  <sheetFormatPr defaultRowHeight="30" customHeight="1"/>
  <cols>
    <col min="1" max="1" width="27.28515625" style="7" bestFit="1" customWidth="1"/>
    <col min="2" max="2" width="1.28515625" style="7" customWidth="1"/>
    <col min="3" max="3" width="17.140625" style="7" customWidth="1"/>
    <col min="4" max="4" width="1.28515625" style="7" customWidth="1"/>
    <col min="5" max="5" width="22.28515625" style="7" customWidth="1"/>
    <col min="6" max="6" width="1.28515625" style="7" customWidth="1"/>
    <col min="7" max="7" width="22.42578125" style="7" customWidth="1"/>
    <col min="8" max="8" width="1.28515625" style="7" customWidth="1"/>
    <col min="9" max="9" width="22" style="52" customWidth="1"/>
    <col min="10" max="10" width="1.28515625" style="7" customWidth="1"/>
    <col min="11" max="11" width="16" style="7" customWidth="1"/>
    <col min="12" max="12" width="1.28515625" style="7" customWidth="1"/>
    <col min="13" max="13" width="20.42578125" style="7" customWidth="1"/>
    <col min="14" max="14" width="1.28515625" style="7" customWidth="1"/>
    <col min="15" max="15" width="21.5703125" style="7" customWidth="1"/>
    <col min="16" max="16" width="1.28515625" style="7" customWidth="1"/>
    <col min="17" max="17" width="19.85546875" style="52" customWidth="1"/>
    <col min="18" max="18" width="15.42578125" style="17" customWidth="1"/>
    <col min="19" max="19" width="17.85546875" style="17" bestFit="1" customWidth="1"/>
    <col min="20" max="16384" width="9.140625" style="17"/>
  </cols>
  <sheetData>
    <row r="1" spans="1:19" ht="30" customHeight="1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9" ht="30" customHeight="1">
      <c r="A2" s="111" t="s">
        <v>54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9" ht="30" customHeight="1">
      <c r="A3" s="111" t="s">
        <v>155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19" ht="30" customHeight="1">
      <c r="A4" s="122" t="s">
        <v>106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9" ht="30" customHeight="1">
      <c r="A5" s="113" t="s">
        <v>57</v>
      </c>
      <c r="C5" s="113" t="s">
        <v>71</v>
      </c>
      <c r="D5" s="113"/>
      <c r="E5" s="113"/>
      <c r="F5" s="113"/>
      <c r="G5" s="113"/>
      <c r="H5" s="113"/>
      <c r="I5" s="113"/>
      <c r="K5" s="113" t="s">
        <v>72</v>
      </c>
      <c r="L5" s="113"/>
      <c r="M5" s="113"/>
      <c r="N5" s="113"/>
      <c r="O5" s="113"/>
      <c r="P5" s="113"/>
      <c r="Q5" s="113"/>
    </row>
    <row r="6" spans="1:19" ht="36.75" customHeight="1">
      <c r="A6" s="113"/>
      <c r="C6" s="6" t="s">
        <v>9</v>
      </c>
      <c r="D6" s="8"/>
      <c r="E6" s="6" t="s">
        <v>11</v>
      </c>
      <c r="F6" s="8"/>
      <c r="G6" s="6" t="s">
        <v>104</v>
      </c>
      <c r="H6" s="8"/>
      <c r="I6" s="84" t="s">
        <v>107</v>
      </c>
      <c r="K6" s="6" t="s">
        <v>9</v>
      </c>
      <c r="L6" s="8"/>
      <c r="M6" s="6" t="s">
        <v>11</v>
      </c>
      <c r="N6" s="8"/>
      <c r="O6" s="6" t="s">
        <v>104</v>
      </c>
      <c r="P6" s="8"/>
      <c r="Q6" s="6" t="s">
        <v>107</v>
      </c>
    </row>
    <row r="7" spans="1:19" ht="30" customHeight="1">
      <c r="A7" s="28" t="s">
        <v>16</v>
      </c>
      <c r="C7" s="11">
        <v>6554673</v>
      </c>
      <c r="E7" s="11">
        <v>45853237913</v>
      </c>
      <c r="G7" s="52">
        <v>-56371160918</v>
      </c>
      <c r="I7" s="56">
        <f>E7+G7</f>
        <v>-10517923005</v>
      </c>
      <c r="K7" s="11">
        <f>C7</f>
        <v>6554673</v>
      </c>
      <c r="M7" s="11">
        <v>45853237913</v>
      </c>
      <c r="O7" s="52">
        <v>-46039437049</v>
      </c>
      <c r="Q7" s="52">
        <f>M7+O7-1</f>
        <v>-186199137</v>
      </c>
      <c r="R7" s="30"/>
      <c r="S7" s="85"/>
    </row>
    <row r="8" spans="1:19" ht="30" customHeight="1">
      <c r="A8" s="28" t="s">
        <v>19</v>
      </c>
      <c r="C8" s="11">
        <v>5154901</v>
      </c>
      <c r="E8" s="11">
        <v>144756017312</v>
      </c>
      <c r="G8" s="52">
        <v>-161379941561</v>
      </c>
      <c r="I8" s="56">
        <f t="shared" ref="I8:I40" si="0">E8+G8</f>
        <v>-16623924249</v>
      </c>
      <c r="K8" s="11">
        <f t="shared" ref="K8:K40" si="1">C8</f>
        <v>5154901</v>
      </c>
      <c r="M8" s="11">
        <v>144756017312</v>
      </c>
      <c r="O8" s="52">
        <v>-152277895064</v>
      </c>
      <c r="Q8" s="52">
        <f>M8+O8</f>
        <v>-7521877752</v>
      </c>
      <c r="R8" s="30"/>
      <c r="S8" s="85"/>
    </row>
    <row r="9" spans="1:19" ht="30" customHeight="1">
      <c r="A9" s="28" t="s">
        <v>30</v>
      </c>
      <c r="C9" s="11">
        <v>43419814</v>
      </c>
      <c r="E9" s="11">
        <v>323993024861</v>
      </c>
      <c r="G9" s="52">
        <v>-357193533502</v>
      </c>
      <c r="I9" s="56">
        <f t="shared" si="0"/>
        <v>-33200508641</v>
      </c>
      <c r="K9" s="11">
        <f t="shared" si="1"/>
        <v>43419814</v>
      </c>
      <c r="M9" s="11">
        <v>323993024861</v>
      </c>
      <c r="O9" s="52">
        <v>-202949050115</v>
      </c>
      <c r="Q9" s="52">
        <f>M9+O9</f>
        <v>121043974746</v>
      </c>
      <c r="R9" s="30"/>
      <c r="S9" s="85"/>
    </row>
    <row r="10" spans="1:19" ht="30" customHeight="1">
      <c r="A10" s="28" t="s">
        <v>143</v>
      </c>
      <c r="C10" s="11">
        <v>10330547</v>
      </c>
      <c r="E10" s="11">
        <v>105479619360</v>
      </c>
      <c r="G10" s="52">
        <v>-123418330135</v>
      </c>
      <c r="I10" s="56">
        <f t="shared" si="0"/>
        <v>-17938710775</v>
      </c>
      <c r="K10" s="11">
        <f t="shared" si="1"/>
        <v>10330547</v>
      </c>
      <c r="M10" s="11">
        <v>105479619360</v>
      </c>
      <c r="O10" s="52">
        <v>-113102425250</v>
      </c>
      <c r="Q10" s="52">
        <f>M10+O10</f>
        <v>-7622805890</v>
      </c>
      <c r="R10" s="30"/>
      <c r="S10" s="85"/>
    </row>
    <row r="11" spans="1:19" ht="30" customHeight="1">
      <c r="A11" s="28" t="s">
        <v>139</v>
      </c>
      <c r="C11" s="11">
        <v>315594</v>
      </c>
      <c r="E11" s="11">
        <v>1057835760</v>
      </c>
      <c r="G11" s="52">
        <v>-1127982359</v>
      </c>
      <c r="I11" s="56">
        <f t="shared" si="0"/>
        <v>-70146599</v>
      </c>
      <c r="K11" s="11">
        <f t="shared" si="1"/>
        <v>315594</v>
      </c>
      <c r="M11" s="11">
        <v>1057835760</v>
      </c>
      <c r="O11" s="52">
        <v>-1119487917</v>
      </c>
      <c r="Q11" s="52">
        <f>M11+O11</f>
        <v>-61652157</v>
      </c>
      <c r="R11" s="30"/>
      <c r="S11" s="85"/>
    </row>
    <row r="12" spans="1:19" ht="30" customHeight="1">
      <c r="A12" s="28" t="s">
        <v>25</v>
      </c>
      <c r="C12" s="11">
        <v>10952298</v>
      </c>
      <c r="E12" s="11">
        <v>23256742616</v>
      </c>
      <c r="G12" s="52">
        <v>-29290736894</v>
      </c>
      <c r="I12" s="56">
        <f t="shared" si="0"/>
        <v>-6033994278</v>
      </c>
      <c r="K12" s="11">
        <f t="shared" si="1"/>
        <v>10952298</v>
      </c>
      <c r="M12" s="11">
        <v>23256742616</v>
      </c>
      <c r="O12" s="52">
        <v>-22269088653</v>
      </c>
      <c r="Q12" s="52">
        <f t="shared" ref="Q12:Q40" si="2">M12+O12</f>
        <v>987653963</v>
      </c>
      <c r="R12" s="30"/>
      <c r="S12" s="85"/>
    </row>
    <row r="13" spans="1:19" ht="30" customHeight="1">
      <c r="A13" s="28" t="s">
        <v>38</v>
      </c>
      <c r="C13" s="11">
        <v>5740000</v>
      </c>
      <c r="E13" s="11">
        <v>12769602012</v>
      </c>
      <c r="G13" s="52">
        <v>-17456046532</v>
      </c>
      <c r="I13" s="56">
        <f>E13+G13</f>
        <v>-4686444520</v>
      </c>
      <c r="K13" s="11">
        <f t="shared" si="1"/>
        <v>5740000</v>
      </c>
      <c r="M13" s="11">
        <v>12769602012</v>
      </c>
      <c r="O13" s="52">
        <v>-13274564321</v>
      </c>
      <c r="Q13" s="52">
        <f>M13+O13</f>
        <v>-504962309</v>
      </c>
      <c r="R13" s="30"/>
      <c r="S13" s="85"/>
    </row>
    <row r="14" spans="1:19" ht="30" customHeight="1">
      <c r="A14" s="28" t="s">
        <v>31</v>
      </c>
      <c r="C14" s="11">
        <v>79324784</v>
      </c>
      <c r="E14" s="11">
        <v>240070390430</v>
      </c>
      <c r="G14" s="52">
        <v>-212257322170</v>
      </c>
      <c r="I14" s="56">
        <f t="shared" si="0"/>
        <v>27813068260</v>
      </c>
      <c r="K14" s="11">
        <f t="shared" si="1"/>
        <v>79324784</v>
      </c>
      <c r="M14" s="11">
        <v>240070390430</v>
      </c>
      <c r="O14" s="52">
        <v>-163916214692</v>
      </c>
      <c r="Q14" s="52">
        <f t="shared" si="2"/>
        <v>76154175738</v>
      </c>
      <c r="R14" s="30"/>
      <c r="S14" s="85"/>
    </row>
    <row r="15" spans="1:19" ht="30" customHeight="1">
      <c r="A15" s="28" t="s">
        <v>29</v>
      </c>
      <c r="C15" s="11">
        <v>53515370</v>
      </c>
      <c r="E15" s="11">
        <v>442337129261</v>
      </c>
      <c r="G15" s="52">
        <v>-478986487359</v>
      </c>
      <c r="I15" s="56">
        <f t="shared" si="0"/>
        <v>-36649358098</v>
      </c>
      <c r="K15" s="11">
        <f t="shared" si="1"/>
        <v>53515370</v>
      </c>
      <c r="M15" s="11">
        <v>442337129261</v>
      </c>
      <c r="O15" s="52">
        <v>-229115798501</v>
      </c>
      <c r="Q15" s="52">
        <f>M15+O15</f>
        <v>213221330760</v>
      </c>
      <c r="R15" s="30"/>
      <c r="S15" s="85"/>
    </row>
    <row r="16" spans="1:19" ht="30" customHeight="1">
      <c r="A16" s="28" t="s">
        <v>32</v>
      </c>
      <c r="C16" s="11">
        <v>82359849</v>
      </c>
      <c r="E16" s="11">
        <v>554900578023</v>
      </c>
      <c r="G16" s="52">
        <v>-659804216232</v>
      </c>
      <c r="I16" s="56">
        <f t="shared" si="0"/>
        <v>-104903638209</v>
      </c>
      <c r="K16" s="11">
        <f t="shared" si="1"/>
        <v>82359849</v>
      </c>
      <c r="M16" s="11">
        <v>554900578023</v>
      </c>
      <c r="O16" s="52">
        <v>-506081900664</v>
      </c>
      <c r="Q16" s="52">
        <f>M16+O16</f>
        <v>48818677359</v>
      </c>
      <c r="R16" s="30"/>
      <c r="S16" s="85"/>
    </row>
    <row r="17" spans="1:19" ht="30" customHeight="1">
      <c r="A17" s="28" t="s">
        <v>128</v>
      </c>
      <c r="C17" s="11">
        <v>2000000</v>
      </c>
      <c r="E17" s="11">
        <v>22802364600</v>
      </c>
      <c r="G17" s="52">
        <v>-27525569800</v>
      </c>
      <c r="I17" s="56">
        <f t="shared" si="0"/>
        <v>-4723205200</v>
      </c>
      <c r="K17" s="11">
        <f t="shared" si="1"/>
        <v>2000000</v>
      </c>
      <c r="M17" s="11">
        <v>22802364600</v>
      </c>
      <c r="O17" s="52">
        <v>-31548620160</v>
      </c>
      <c r="Q17" s="52">
        <f t="shared" si="2"/>
        <v>-8746255560</v>
      </c>
      <c r="R17" s="30"/>
      <c r="S17" s="85"/>
    </row>
    <row r="18" spans="1:19" ht="30" customHeight="1">
      <c r="A18" s="28" t="s">
        <v>127</v>
      </c>
      <c r="C18" s="11">
        <v>880000</v>
      </c>
      <c r="E18" s="11">
        <v>4138083426</v>
      </c>
      <c r="G18" s="52">
        <v>-4455927352</v>
      </c>
      <c r="I18" s="56">
        <f t="shared" si="0"/>
        <v>-317843926</v>
      </c>
      <c r="K18" s="11">
        <f t="shared" si="1"/>
        <v>880000</v>
      </c>
      <c r="M18" s="11">
        <v>4138083426</v>
      </c>
      <c r="O18" s="52">
        <v>-4694602010</v>
      </c>
      <c r="Q18" s="52">
        <f t="shared" si="2"/>
        <v>-556518584</v>
      </c>
      <c r="R18" s="30"/>
      <c r="S18" s="85"/>
    </row>
    <row r="19" spans="1:19" ht="30" customHeight="1">
      <c r="A19" s="28" t="s">
        <v>18</v>
      </c>
      <c r="C19" s="11">
        <v>18869770</v>
      </c>
      <c r="E19" s="11">
        <v>82422637196</v>
      </c>
      <c r="G19" s="52">
        <v>-102419769528</v>
      </c>
      <c r="I19" s="56">
        <f t="shared" si="0"/>
        <v>-19997132332</v>
      </c>
      <c r="K19" s="11">
        <f t="shared" si="1"/>
        <v>18869770</v>
      </c>
      <c r="M19" s="11">
        <v>82422637196</v>
      </c>
      <c r="O19" s="52">
        <v>-88869712301</v>
      </c>
      <c r="Q19" s="52">
        <f t="shared" si="2"/>
        <v>-6447075105</v>
      </c>
      <c r="R19" s="30"/>
      <c r="S19" s="85"/>
    </row>
    <row r="20" spans="1:19" ht="30" customHeight="1">
      <c r="A20" s="28" t="s">
        <v>15</v>
      </c>
      <c r="C20" s="11">
        <v>75</v>
      </c>
      <c r="E20" s="11">
        <v>9243739</v>
      </c>
      <c r="G20" s="52">
        <v>-10252133</v>
      </c>
      <c r="I20" s="56">
        <f t="shared" si="0"/>
        <v>-1008394</v>
      </c>
      <c r="K20" s="11">
        <f t="shared" si="1"/>
        <v>75</v>
      </c>
      <c r="M20" s="11">
        <v>9243739</v>
      </c>
      <c r="O20" s="52">
        <v>-8421591</v>
      </c>
      <c r="Q20" s="52">
        <f t="shared" si="2"/>
        <v>822148</v>
      </c>
      <c r="R20" s="30"/>
      <c r="S20" s="85"/>
    </row>
    <row r="21" spans="1:19" ht="30" customHeight="1">
      <c r="A21" s="28" t="s">
        <v>120</v>
      </c>
      <c r="C21" s="11">
        <v>13350000</v>
      </c>
      <c r="E21" s="11">
        <v>267188046765</v>
      </c>
      <c r="G21" s="52">
        <v>-288250465920</v>
      </c>
      <c r="I21" s="56">
        <f t="shared" si="0"/>
        <v>-21062419155</v>
      </c>
      <c r="K21" s="11">
        <f t="shared" si="1"/>
        <v>13350000</v>
      </c>
      <c r="M21" s="11">
        <v>267188046765</v>
      </c>
      <c r="O21" s="52">
        <v>-253823953674</v>
      </c>
      <c r="Q21" s="52">
        <f t="shared" si="2"/>
        <v>13364093091</v>
      </c>
      <c r="R21" s="30"/>
      <c r="S21" s="85"/>
    </row>
    <row r="22" spans="1:19" ht="30" customHeight="1">
      <c r="A22" s="28" t="s">
        <v>135</v>
      </c>
      <c r="C22" s="11">
        <v>44776472</v>
      </c>
      <c r="E22" s="11">
        <v>272358044712</v>
      </c>
      <c r="G22" s="52">
        <v>-318875120288</v>
      </c>
      <c r="I22" s="56">
        <f t="shared" si="0"/>
        <v>-46517075576</v>
      </c>
      <c r="K22" s="11">
        <f t="shared" si="1"/>
        <v>44776472</v>
      </c>
      <c r="M22" s="11">
        <v>272358044712</v>
      </c>
      <c r="O22" s="52">
        <v>-291540840608</v>
      </c>
      <c r="Q22" s="52">
        <f>M22+O22</f>
        <v>-19182795896</v>
      </c>
      <c r="R22" s="30"/>
      <c r="S22" s="85"/>
    </row>
    <row r="23" spans="1:19" ht="30" customHeight="1">
      <c r="A23" s="28" t="s">
        <v>141</v>
      </c>
      <c r="C23" s="11">
        <v>43450000</v>
      </c>
      <c r="E23" s="11">
        <v>227642614320</v>
      </c>
      <c r="G23" s="52">
        <v>-242719735587</v>
      </c>
      <c r="I23" s="56">
        <f t="shared" si="0"/>
        <v>-15077121267</v>
      </c>
      <c r="K23" s="11">
        <f t="shared" si="1"/>
        <v>43450000</v>
      </c>
      <c r="M23" s="11">
        <v>227642614320</v>
      </c>
      <c r="O23" s="52">
        <v>-174362556996</v>
      </c>
      <c r="Q23" s="52">
        <f t="shared" si="2"/>
        <v>53280057324</v>
      </c>
      <c r="R23" s="30"/>
      <c r="S23" s="85"/>
    </row>
    <row r="24" spans="1:19" ht="30" customHeight="1">
      <c r="A24" s="28" t="s">
        <v>137</v>
      </c>
      <c r="C24" s="11">
        <v>84339549</v>
      </c>
      <c r="E24" s="11">
        <v>374585716785</v>
      </c>
      <c r="G24" s="52">
        <v>-466844978295</v>
      </c>
      <c r="I24" s="56">
        <f t="shared" si="0"/>
        <v>-92259261510</v>
      </c>
      <c r="K24" s="11">
        <f t="shared" si="1"/>
        <v>84339549</v>
      </c>
      <c r="M24" s="11">
        <v>374585716785</v>
      </c>
      <c r="O24" s="52">
        <v>-240556372054</v>
      </c>
      <c r="Q24" s="52">
        <f t="shared" si="2"/>
        <v>134029344731</v>
      </c>
      <c r="R24" s="30"/>
      <c r="S24" s="85"/>
    </row>
    <row r="25" spans="1:19" ht="30" customHeight="1">
      <c r="A25" s="28" t="s">
        <v>140</v>
      </c>
      <c r="C25" s="11">
        <v>10000000</v>
      </c>
      <c r="E25" s="11">
        <v>32566301400</v>
      </c>
      <c r="G25" s="52">
        <v>-37602983718</v>
      </c>
      <c r="I25" s="56">
        <f t="shared" si="0"/>
        <v>-5036682318</v>
      </c>
      <c r="K25" s="11">
        <f t="shared" si="1"/>
        <v>10000000</v>
      </c>
      <c r="M25" s="11">
        <v>32566301400</v>
      </c>
      <c r="O25" s="52">
        <v>-36008482065</v>
      </c>
      <c r="Q25" s="52">
        <f t="shared" si="2"/>
        <v>-3442180665</v>
      </c>
      <c r="R25" s="30"/>
      <c r="S25" s="85"/>
    </row>
    <row r="26" spans="1:19" ht="30" customHeight="1">
      <c r="A26" s="28" t="s">
        <v>125</v>
      </c>
      <c r="C26" s="11">
        <v>10918181</v>
      </c>
      <c r="E26" s="11">
        <v>60127498208</v>
      </c>
      <c r="G26" s="52">
        <v>-63763253567</v>
      </c>
      <c r="I26" s="56">
        <f t="shared" si="0"/>
        <v>-3635755359</v>
      </c>
      <c r="K26" s="11">
        <f t="shared" si="1"/>
        <v>10918181</v>
      </c>
      <c r="M26" s="52">
        <v>60127498208</v>
      </c>
      <c r="O26" s="52">
        <v>-37524611843</v>
      </c>
      <c r="Q26" s="52">
        <f>M26+O26-1</f>
        <v>22602886364</v>
      </c>
      <c r="R26" s="30"/>
      <c r="S26" s="85"/>
    </row>
    <row r="27" spans="1:19" ht="30" customHeight="1">
      <c r="A27" s="28" t="s">
        <v>132</v>
      </c>
      <c r="C27" s="11">
        <v>21978028</v>
      </c>
      <c r="E27" s="11">
        <v>78094941618</v>
      </c>
      <c r="G27" s="52">
        <v>-99881271323</v>
      </c>
      <c r="I27" s="56">
        <f t="shared" si="0"/>
        <v>-21786329705</v>
      </c>
      <c r="K27" s="11">
        <f t="shared" si="1"/>
        <v>21978028</v>
      </c>
      <c r="M27" s="11">
        <v>78094941618</v>
      </c>
      <c r="O27" s="52">
        <v>-73217404944</v>
      </c>
      <c r="Q27" s="52">
        <f>M27+O27-1</f>
        <v>4877536673</v>
      </c>
      <c r="R27" s="30"/>
      <c r="S27" s="85"/>
    </row>
    <row r="28" spans="1:19" ht="30" customHeight="1">
      <c r="A28" s="28" t="s">
        <v>20</v>
      </c>
      <c r="C28" s="11">
        <v>4387819</v>
      </c>
      <c r="E28" s="11">
        <v>39838195606</v>
      </c>
      <c r="G28" s="52">
        <v>-41653887647</v>
      </c>
      <c r="I28" s="56">
        <f t="shared" si="0"/>
        <v>-1815692041</v>
      </c>
      <c r="K28" s="11">
        <f t="shared" si="1"/>
        <v>4387819</v>
      </c>
      <c r="M28" s="11">
        <v>39838195606</v>
      </c>
      <c r="O28" s="52">
        <v>-43686768307</v>
      </c>
      <c r="Q28" s="52">
        <f t="shared" si="2"/>
        <v>-3848572701</v>
      </c>
      <c r="R28" s="30"/>
      <c r="S28" s="85"/>
    </row>
    <row r="29" spans="1:19" ht="30" customHeight="1">
      <c r="A29" s="28" t="s">
        <v>142</v>
      </c>
      <c r="C29" s="11">
        <v>24852471</v>
      </c>
      <c r="E29" s="11">
        <v>197776098421</v>
      </c>
      <c r="G29" s="52">
        <v>-278415484263</v>
      </c>
      <c r="I29" s="56">
        <f t="shared" si="0"/>
        <v>-80639385842</v>
      </c>
      <c r="K29" s="11">
        <f t="shared" si="1"/>
        <v>24852471</v>
      </c>
      <c r="M29" s="11">
        <v>197776098421</v>
      </c>
      <c r="O29" s="52">
        <v>-177351551671</v>
      </c>
      <c r="Q29" s="52">
        <f t="shared" si="2"/>
        <v>20424546750</v>
      </c>
      <c r="R29" s="30"/>
      <c r="S29" s="85"/>
    </row>
    <row r="30" spans="1:19" ht="30" customHeight="1">
      <c r="A30" s="28" t="s">
        <v>152</v>
      </c>
      <c r="C30" s="11">
        <v>5113203</v>
      </c>
      <c r="E30" s="11">
        <v>53628775834</v>
      </c>
      <c r="G30" s="52">
        <v>-52360356349</v>
      </c>
      <c r="I30" s="56">
        <f t="shared" si="0"/>
        <v>1268419485</v>
      </c>
      <c r="K30" s="11">
        <f t="shared" si="1"/>
        <v>5113203</v>
      </c>
      <c r="M30" s="11">
        <v>53628775834</v>
      </c>
      <c r="O30" s="52">
        <v>-40703447232</v>
      </c>
      <c r="Q30" s="52">
        <f t="shared" si="2"/>
        <v>12925328602</v>
      </c>
      <c r="R30" s="30"/>
      <c r="S30" s="85"/>
    </row>
    <row r="31" spans="1:19" ht="30" customHeight="1">
      <c r="A31" s="28" t="s">
        <v>145</v>
      </c>
      <c r="C31" s="11">
        <v>1064119</v>
      </c>
      <c r="E31" s="52">
        <v>83542282654</v>
      </c>
      <c r="G31" s="52">
        <v>-99672444458</v>
      </c>
      <c r="I31" s="56">
        <f>E31+G31</f>
        <v>-16130161804</v>
      </c>
      <c r="K31" s="11">
        <f t="shared" si="1"/>
        <v>1064119</v>
      </c>
      <c r="M31" s="11">
        <v>83542282654</v>
      </c>
      <c r="O31" s="52">
        <v>-74714398923</v>
      </c>
      <c r="Q31" s="52">
        <f>M31+O31</f>
        <v>8827883731</v>
      </c>
      <c r="R31" s="30"/>
      <c r="S31" s="85"/>
    </row>
    <row r="32" spans="1:19" ht="30" customHeight="1">
      <c r="A32" s="28" t="s">
        <v>146</v>
      </c>
      <c r="C32" s="11">
        <v>1470838</v>
      </c>
      <c r="E32" s="52">
        <v>30283969761</v>
      </c>
      <c r="G32" s="52">
        <v>-37391580978</v>
      </c>
      <c r="I32" s="56">
        <f t="shared" si="0"/>
        <v>-7107611217</v>
      </c>
      <c r="K32" s="11">
        <f t="shared" si="1"/>
        <v>1470838</v>
      </c>
      <c r="M32" s="11">
        <v>30283969761</v>
      </c>
      <c r="O32" s="52">
        <v>-29069972873</v>
      </c>
      <c r="Q32" s="52">
        <f t="shared" si="2"/>
        <v>1213996888</v>
      </c>
      <c r="R32" s="30"/>
      <c r="S32" s="85"/>
    </row>
    <row r="33" spans="1:19" ht="30" customHeight="1">
      <c r="A33" s="28" t="s">
        <v>147</v>
      </c>
      <c r="C33" s="11">
        <v>1104121</v>
      </c>
      <c r="E33" s="52">
        <v>4015323221</v>
      </c>
      <c r="G33" s="52">
        <v>-4751557110</v>
      </c>
      <c r="I33" s="56">
        <f>E33+G33</f>
        <v>-736233889</v>
      </c>
      <c r="K33" s="11">
        <f t="shared" si="1"/>
        <v>1104121</v>
      </c>
      <c r="M33" s="11">
        <v>4015323221</v>
      </c>
      <c r="O33" s="52">
        <v>-3873416233</v>
      </c>
      <c r="Q33" s="52">
        <f>M33+O33</f>
        <v>141906988</v>
      </c>
      <c r="R33" s="30"/>
      <c r="S33" s="85"/>
    </row>
    <row r="34" spans="1:19" ht="30" customHeight="1">
      <c r="A34" s="28" t="s">
        <v>148</v>
      </c>
      <c r="C34" s="11">
        <v>3008</v>
      </c>
      <c r="E34" s="52">
        <v>5728490547</v>
      </c>
      <c r="G34" s="52">
        <v>-5899541054</v>
      </c>
      <c r="I34" s="56">
        <f t="shared" si="0"/>
        <v>-171050507</v>
      </c>
      <c r="K34" s="11">
        <f t="shared" si="1"/>
        <v>3008</v>
      </c>
      <c r="M34" s="11">
        <v>5728490547</v>
      </c>
      <c r="O34" s="52">
        <v>-5506682057</v>
      </c>
      <c r="Q34" s="52">
        <f t="shared" si="2"/>
        <v>221808490</v>
      </c>
      <c r="R34" s="30"/>
      <c r="S34" s="85"/>
    </row>
    <row r="35" spans="1:19" ht="30" customHeight="1">
      <c r="A35" s="28" t="s">
        <v>34</v>
      </c>
      <c r="C35" s="11">
        <v>700000</v>
      </c>
      <c r="E35" s="52">
        <v>24123075970</v>
      </c>
      <c r="G35" s="52">
        <v>-23081192470</v>
      </c>
      <c r="I35" s="56">
        <f t="shared" si="0"/>
        <v>1041883500</v>
      </c>
      <c r="K35" s="11">
        <f t="shared" si="1"/>
        <v>700000</v>
      </c>
      <c r="M35" s="11">
        <v>24123075970</v>
      </c>
      <c r="O35" s="52">
        <v>-20490829550</v>
      </c>
      <c r="Q35" s="52">
        <f t="shared" si="2"/>
        <v>3632246420</v>
      </c>
      <c r="R35" s="30"/>
      <c r="S35" s="85"/>
    </row>
    <row r="36" spans="1:19" ht="30" customHeight="1">
      <c r="A36" s="28" t="s">
        <v>150</v>
      </c>
      <c r="C36" s="11">
        <v>1365000</v>
      </c>
      <c r="E36" s="52">
        <v>78016236480</v>
      </c>
      <c r="G36" s="52">
        <v>-91154387415</v>
      </c>
      <c r="I36" s="56">
        <f t="shared" si="0"/>
        <v>-13138150935</v>
      </c>
      <c r="K36" s="11">
        <f t="shared" si="1"/>
        <v>1365000</v>
      </c>
      <c r="M36" s="11">
        <v>78016236480</v>
      </c>
      <c r="O36" s="52">
        <v>-75819656367</v>
      </c>
      <c r="Q36" s="52">
        <f t="shared" si="2"/>
        <v>2196580113</v>
      </c>
      <c r="R36" s="30"/>
      <c r="S36" s="85"/>
    </row>
    <row r="37" spans="1:19" ht="30" customHeight="1">
      <c r="A37" s="28" t="s">
        <v>24</v>
      </c>
      <c r="C37" s="11">
        <v>4505151</v>
      </c>
      <c r="E37" s="52">
        <v>63836257890</v>
      </c>
      <c r="G37" s="52">
        <v>-67764218954</v>
      </c>
      <c r="I37" s="56">
        <f>E37+G37</f>
        <v>-3927961064</v>
      </c>
      <c r="K37" s="11">
        <f t="shared" si="1"/>
        <v>4505151</v>
      </c>
      <c r="M37" s="11">
        <v>63836257890</v>
      </c>
      <c r="O37" s="52">
        <v>-58332647454</v>
      </c>
      <c r="Q37" s="52">
        <f>M37+O37</f>
        <v>5503610436</v>
      </c>
      <c r="R37" s="30"/>
      <c r="S37" s="85"/>
    </row>
    <row r="38" spans="1:19" ht="30" customHeight="1">
      <c r="A38" s="28" t="s">
        <v>154</v>
      </c>
      <c r="C38" s="11">
        <v>6750000</v>
      </c>
      <c r="E38" s="52">
        <v>30528674955</v>
      </c>
      <c r="G38" s="52">
        <v>-31749763373</v>
      </c>
      <c r="I38" s="56">
        <f t="shared" si="0"/>
        <v>-1221088418</v>
      </c>
      <c r="K38" s="11">
        <f t="shared" si="1"/>
        <v>6750000</v>
      </c>
      <c r="M38" s="11">
        <v>30528674955</v>
      </c>
      <c r="O38" s="52">
        <v>-30728215313</v>
      </c>
      <c r="Q38" s="52">
        <f t="shared" si="2"/>
        <v>-199540358</v>
      </c>
      <c r="R38" s="30"/>
      <c r="S38" s="85"/>
    </row>
    <row r="39" spans="1:19" ht="30" customHeight="1">
      <c r="A39" s="28" t="s">
        <v>149</v>
      </c>
      <c r="C39" s="11">
        <v>7179158</v>
      </c>
      <c r="E39" s="52">
        <v>49979620370</v>
      </c>
      <c r="G39" s="52">
        <v>-52063166562</v>
      </c>
      <c r="I39" s="56">
        <f t="shared" si="0"/>
        <v>-2083546192</v>
      </c>
      <c r="K39" s="11">
        <f t="shared" si="1"/>
        <v>7179158</v>
      </c>
      <c r="M39" s="11">
        <v>49979620370</v>
      </c>
      <c r="O39" s="52">
        <v>-42752488150</v>
      </c>
      <c r="Q39" s="52">
        <f t="shared" si="2"/>
        <v>7227132220</v>
      </c>
      <c r="R39" s="30"/>
      <c r="S39" s="85"/>
    </row>
    <row r="40" spans="1:19" ht="30" customHeight="1">
      <c r="A40" s="28" t="s">
        <v>158</v>
      </c>
      <c r="C40" s="11">
        <v>1415135</v>
      </c>
      <c r="E40" s="52">
        <v>8930686601</v>
      </c>
      <c r="G40" s="52">
        <v>-9132891394</v>
      </c>
      <c r="I40" s="56">
        <f t="shared" si="0"/>
        <v>-202204793</v>
      </c>
      <c r="K40" s="11">
        <f t="shared" si="1"/>
        <v>1415135</v>
      </c>
      <c r="M40" s="11">
        <v>8930686601</v>
      </c>
      <c r="O40" s="52">
        <v>-9132891394</v>
      </c>
      <c r="Q40" s="52">
        <f t="shared" si="2"/>
        <v>-202204793</v>
      </c>
      <c r="R40" s="30"/>
      <c r="S40" s="85"/>
    </row>
    <row r="41" spans="1:19" s="26" customFormat="1" ht="30" customHeight="1" thickBot="1">
      <c r="A41" s="20" t="s">
        <v>43</v>
      </c>
      <c r="B41" s="20"/>
      <c r="C41" s="22">
        <f>SUM(C7:C40)</f>
        <v>608139928</v>
      </c>
      <c r="D41" s="20"/>
      <c r="E41" s="22">
        <f>SUM(E7:E40)-9</f>
        <v>3986637358618</v>
      </c>
      <c r="F41" s="20"/>
      <c r="G41" s="54">
        <f>SUM(G7:G40)</f>
        <v>-4544725557200</v>
      </c>
      <c r="H41" s="20"/>
      <c r="I41" s="86">
        <f>SUM(I7:I40)-4</f>
        <v>-558088198577</v>
      </c>
      <c r="J41" s="20"/>
      <c r="K41" s="22">
        <f>SUM(K7:K40)</f>
        <v>608139928</v>
      </c>
      <c r="L41" s="20"/>
      <c r="M41" s="22">
        <f>SUM(M7:M40)</f>
        <v>3986637358627</v>
      </c>
      <c r="N41" s="20"/>
      <c r="O41" s="54">
        <f>SUM(O7:O40)</f>
        <v>-3294464405996</v>
      </c>
      <c r="P41" s="20"/>
      <c r="Q41" s="54">
        <f>SUM(Q7:Q40)</f>
        <v>692172952628</v>
      </c>
    </row>
    <row r="46" spans="1:19" ht="30" customHeight="1">
      <c r="S46" s="30"/>
    </row>
    <row r="47" spans="1:19" ht="30" customHeight="1">
      <c r="S47" s="30"/>
    </row>
    <row r="48" spans="1:19" ht="30" customHeight="1">
      <c r="S48" s="30"/>
    </row>
    <row r="49" spans="19:19" ht="30" customHeight="1">
      <c r="S49" s="30"/>
    </row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  <pageSetUpPr fitToPage="1"/>
  </sheetPr>
  <dimension ref="A1:AC46"/>
  <sheetViews>
    <sheetView rightToLeft="1" view="pageBreakPreview" topLeftCell="D1" zoomScaleNormal="100" zoomScaleSheetLayoutView="100" workbookViewId="0">
      <selection activeCell="AC37" sqref="AC37"/>
    </sheetView>
  </sheetViews>
  <sheetFormatPr defaultRowHeight="30" customHeight="1"/>
  <cols>
    <col min="1" max="1" width="2.140625" style="32" hidden="1" customWidth="1"/>
    <col min="2" max="2" width="2.5703125" style="32" hidden="1" customWidth="1"/>
    <col min="3" max="3" width="23.42578125" style="32" customWidth="1"/>
    <col min="4" max="4" width="1.28515625" style="32" customWidth="1"/>
    <col min="5" max="5" width="14" style="32" bestFit="1" customWidth="1"/>
    <col min="6" max="6" width="1.28515625" style="32" customWidth="1"/>
    <col min="7" max="7" width="20.7109375" style="32" customWidth="1"/>
    <col min="8" max="8" width="1.28515625" style="32" customWidth="1"/>
    <col min="9" max="9" width="21.28515625" style="32" customWidth="1"/>
    <col min="10" max="10" width="1.28515625" style="32" customWidth="1"/>
    <col min="11" max="11" width="17.140625" style="32" customWidth="1"/>
    <col min="12" max="12" width="1.28515625" style="32" customWidth="1"/>
    <col min="13" max="13" width="20.42578125" style="7" customWidth="1"/>
    <col min="14" max="14" width="1.28515625" style="32" customWidth="1"/>
    <col min="15" max="15" width="16.140625" style="29" customWidth="1"/>
    <col min="16" max="16" width="1.28515625" style="32" customWidth="1"/>
    <col min="17" max="17" width="19.28515625" style="32" customWidth="1"/>
    <col min="18" max="18" width="1.28515625" style="32" customWidth="1"/>
    <col min="19" max="19" width="14.28515625" style="32" customWidth="1"/>
    <col min="20" max="20" width="1.28515625" style="32" customWidth="1"/>
    <col min="21" max="21" width="16.7109375" style="32" customWidth="1"/>
    <col min="22" max="22" width="1.28515625" style="32" customWidth="1"/>
    <col min="23" max="23" width="21.140625" style="32" customWidth="1"/>
    <col min="24" max="24" width="1.28515625" style="32" customWidth="1"/>
    <col min="25" max="25" width="20.28515625" style="32" customWidth="1"/>
    <col min="26" max="26" width="1.28515625" style="32" customWidth="1"/>
    <col min="27" max="27" width="22" style="32" bestFit="1" customWidth="1"/>
    <col min="28" max="28" width="0.28515625" style="34" customWidth="1"/>
    <col min="29" max="29" width="10.140625" style="34" customWidth="1"/>
    <col min="30" max="30" width="14.85546875" style="17" bestFit="1" customWidth="1"/>
    <col min="31" max="31" width="9.140625" style="17" customWidth="1"/>
    <col min="32" max="16384" width="9.140625" style="17"/>
  </cols>
  <sheetData>
    <row r="1" spans="1:29" ht="30" customHeight="1">
      <c r="A1" s="111" t="s">
        <v>109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</row>
    <row r="2" spans="1:29" ht="30" customHeight="1">
      <c r="A2" s="111" t="s">
        <v>110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1:29" ht="30" customHeight="1">
      <c r="A3" s="111" t="s">
        <v>155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</row>
    <row r="4" spans="1:29" ht="30" customHeight="1">
      <c r="A4" s="63" t="s">
        <v>1</v>
      </c>
      <c r="B4" s="120" t="s">
        <v>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</row>
    <row r="5" spans="1:29" ht="30" customHeight="1">
      <c r="A5" s="121" t="s">
        <v>3</v>
      </c>
      <c r="B5" s="121"/>
      <c r="C5" s="122" t="s">
        <v>4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</row>
    <row r="6" spans="1:29" ht="30" customHeight="1">
      <c r="A6" s="116"/>
      <c r="B6" s="116"/>
      <c r="C6" s="116"/>
      <c r="D6" s="7"/>
      <c r="E6" s="113" t="s">
        <v>153</v>
      </c>
      <c r="F6" s="113"/>
      <c r="G6" s="113"/>
      <c r="H6" s="113"/>
      <c r="I6" s="113"/>
      <c r="J6" s="7"/>
      <c r="K6" s="113" t="s">
        <v>6</v>
      </c>
      <c r="L6" s="113"/>
      <c r="M6" s="113"/>
      <c r="N6" s="113"/>
      <c r="O6" s="113"/>
      <c r="P6" s="113"/>
      <c r="Q6" s="113"/>
      <c r="R6" s="7"/>
      <c r="S6" s="113" t="s">
        <v>156</v>
      </c>
      <c r="T6" s="113"/>
      <c r="U6" s="113"/>
      <c r="V6" s="113"/>
      <c r="W6" s="113"/>
      <c r="X6" s="113"/>
      <c r="Y6" s="113"/>
      <c r="Z6" s="113"/>
      <c r="AA6" s="113"/>
    </row>
    <row r="7" spans="1:29" ht="30" customHeight="1">
      <c r="A7" s="111" t="s">
        <v>108</v>
      </c>
      <c r="B7" s="111"/>
      <c r="C7" s="111"/>
      <c r="D7" s="7"/>
      <c r="E7" s="114" t="s">
        <v>9</v>
      </c>
      <c r="F7" s="8"/>
      <c r="G7" s="114" t="s">
        <v>10</v>
      </c>
      <c r="H7" s="8"/>
      <c r="I7" s="114" t="s">
        <v>11</v>
      </c>
      <c r="J7" s="7"/>
      <c r="K7" s="117" t="s">
        <v>7</v>
      </c>
      <c r="L7" s="117"/>
      <c r="M7" s="117"/>
      <c r="N7" s="8"/>
      <c r="O7" s="117" t="s">
        <v>8</v>
      </c>
      <c r="P7" s="117"/>
      <c r="Q7" s="117"/>
      <c r="R7" s="7"/>
      <c r="S7" s="114" t="s">
        <v>9</v>
      </c>
      <c r="T7" s="8"/>
      <c r="U7" s="114" t="s">
        <v>13</v>
      </c>
      <c r="V7" s="8"/>
      <c r="W7" s="114" t="s">
        <v>10</v>
      </c>
      <c r="X7" s="8"/>
      <c r="Y7" s="114" t="s">
        <v>11</v>
      </c>
      <c r="Z7" s="8"/>
      <c r="AA7" s="118" t="s">
        <v>14</v>
      </c>
    </row>
    <row r="8" spans="1:29" ht="30" customHeight="1">
      <c r="A8" s="115"/>
      <c r="B8" s="115"/>
      <c r="C8" s="115"/>
      <c r="D8" s="7"/>
      <c r="E8" s="115"/>
      <c r="F8" s="7"/>
      <c r="G8" s="115"/>
      <c r="H8" s="7"/>
      <c r="I8" s="115"/>
      <c r="J8" s="7"/>
      <c r="K8" s="2" t="s">
        <v>9</v>
      </c>
      <c r="L8" s="8"/>
      <c r="M8" s="2" t="s">
        <v>10</v>
      </c>
      <c r="N8" s="7"/>
      <c r="O8" s="57" t="s">
        <v>9</v>
      </c>
      <c r="P8" s="8"/>
      <c r="Q8" s="2" t="s">
        <v>12</v>
      </c>
      <c r="R8" s="7"/>
      <c r="S8" s="115"/>
      <c r="T8" s="7"/>
      <c r="U8" s="115"/>
      <c r="V8" s="7"/>
      <c r="W8" s="115"/>
      <c r="X8" s="7"/>
      <c r="Y8" s="111"/>
      <c r="Z8" s="7"/>
      <c r="AA8" s="119"/>
    </row>
    <row r="9" spans="1:29" ht="30" customHeight="1">
      <c r="A9" s="112" t="s">
        <v>15</v>
      </c>
      <c r="B9" s="112"/>
      <c r="C9" s="112"/>
      <c r="D9" s="7"/>
      <c r="E9" s="9">
        <v>75</v>
      </c>
      <c r="F9" s="7"/>
      <c r="G9" s="9">
        <v>4112010</v>
      </c>
      <c r="H9" s="7"/>
      <c r="I9" s="9">
        <v>10252133.640000001</v>
      </c>
      <c r="J9" s="7"/>
      <c r="K9" s="9">
        <v>0</v>
      </c>
      <c r="L9" s="7"/>
      <c r="M9" s="9">
        <v>0</v>
      </c>
      <c r="N9" s="7"/>
      <c r="O9" s="64">
        <v>0</v>
      </c>
      <c r="P9" s="65"/>
      <c r="Q9" s="33">
        <v>0</v>
      </c>
      <c r="R9" s="7"/>
      <c r="S9" s="9">
        <f>K9+O9+E9</f>
        <v>75</v>
      </c>
      <c r="T9" s="7"/>
      <c r="U9" s="9">
        <v>124210</v>
      </c>
      <c r="V9" s="7"/>
      <c r="W9" s="9">
        <v>4112010</v>
      </c>
      <c r="X9" s="7"/>
      <c r="Y9" s="66">
        <v>9243739.2524999995</v>
      </c>
      <c r="Z9" s="7"/>
      <c r="AA9" s="41">
        <f>Y9/4020829476002</f>
        <v>2.2989632630954684E-6</v>
      </c>
      <c r="AC9" s="37"/>
    </row>
    <row r="10" spans="1:29" ht="30" customHeight="1">
      <c r="A10" s="109" t="s">
        <v>16</v>
      </c>
      <c r="B10" s="109"/>
      <c r="C10" s="109"/>
      <c r="D10" s="7"/>
      <c r="E10" s="11">
        <v>8254673</v>
      </c>
      <c r="F10" s="7"/>
      <c r="G10" s="11">
        <v>54060557353</v>
      </c>
      <c r="H10" s="7"/>
      <c r="I10" s="11">
        <v>68311808910.101402</v>
      </c>
      <c r="J10" s="7"/>
      <c r="K10" s="11">
        <v>0</v>
      </c>
      <c r="L10" s="7"/>
      <c r="M10" s="11">
        <v>0</v>
      </c>
      <c r="N10" s="7"/>
      <c r="O10" s="58">
        <v>-1700000</v>
      </c>
      <c r="P10" s="65"/>
      <c r="Q10" s="59">
        <v>13052385145</v>
      </c>
      <c r="R10" s="7"/>
      <c r="S10" s="11">
        <f>K10+O10+E10</f>
        <v>6554673</v>
      </c>
      <c r="T10" s="7"/>
      <c r="U10" s="11">
        <v>7050</v>
      </c>
      <c r="V10" s="7"/>
      <c r="W10" s="11">
        <v>42927112397</v>
      </c>
      <c r="X10" s="7"/>
      <c r="Y10" s="11">
        <v>45853237912.855499</v>
      </c>
      <c r="Z10" s="7"/>
      <c r="AA10" s="41">
        <f t="shared" ref="AA10:AA42" si="0">Y10/4020829476002</f>
        <v>1.1403925032515527E-2</v>
      </c>
      <c r="AB10" s="17"/>
      <c r="AC10" s="17"/>
    </row>
    <row r="11" spans="1:29" ht="30" customHeight="1">
      <c r="A11" s="109" t="s">
        <v>18</v>
      </c>
      <c r="B11" s="109"/>
      <c r="C11" s="109"/>
      <c r="D11" s="7"/>
      <c r="E11" s="11">
        <v>18869770</v>
      </c>
      <c r="F11" s="7"/>
      <c r="G11" s="11">
        <v>79840542890</v>
      </c>
      <c r="H11" s="7"/>
      <c r="I11" s="11">
        <v>102419769528.11301</v>
      </c>
      <c r="J11" s="7"/>
      <c r="K11" s="59">
        <v>0</v>
      </c>
      <c r="L11" s="7"/>
      <c r="M11" s="11">
        <v>0</v>
      </c>
      <c r="N11" s="7"/>
      <c r="O11" s="58">
        <v>0</v>
      </c>
      <c r="P11" s="7"/>
      <c r="Q11" s="11">
        <v>0</v>
      </c>
      <c r="R11" s="7"/>
      <c r="S11" s="11">
        <f t="shared" ref="S11:S41" si="1">K11+O11+E11</f>
        <v>18869770</v>
      </c>
      <c r="T11" s="7"/>
      <c r="U11" s="11">
        <v>4402</v>
      </c>
      <c r="V11" s="7"/>
      <c r="W11" s="11">
        <v>79840542890</v>
      </c>
      <c r="X11" s="7"/>
      <c r="Y11" s="11">
        <v>82422637196.115799</v>
      </c>
      <c r="Z11" s="7"/>
      <c r="AA11" s="41">
        <f t="shared" si="0"/>
        <v>2.0498913890292722E-2</v>
      </c>
    </row>
    <row r="12" spans="1:29" ht="30" customHeight="1">
      <c r="A12" s="109" t="s">
        <v>19</v>
      </c>
      <c r="B12" s="109"/>
      <c r="C12" s="109"/>
      <c r="D12" s="7"/>
      <c r="E12" s="11">
        <v>5154901</v>
      </c>
      <c r="F12" s="7"/>
      <c r="G12" s="11">
        <v>141170263038</v>
      </c>
      <c r="H12" s="7"/>
      <c r="I12" s="11">
        <v>161379941561.76801</v>
      </c>
      <c r="J12" s="7"/>
      <c r="K12" s="11">
        <v>0</v>
      </c>
      <c r="L12" s="7"/>
      <c r="M12" s="11">
        <v>0</v>
      </c>
      <c r="N12" s="7"/>
      <c r="O12" s="58">
        <v>0</v>
      </c>
      <c r="P12" s="7"/>
      <c r="Q12" s="11">
        <v>0</v>
      </c>
      <c r="R12" s="7"/>
      <c r="S12" s="11">
        <f t="shared" si="1"/>
        <v>5154901</v>
      </c>
      <c r="T12" s="7"/>
      <c r="U12" s="11">
        <v>28300</v>
      </c>
      <c r="V12" s="7"/>
      <c r="W12" s="11">
        <v>141170263038</v>
      </c>
      <c r="X12" s="7"/>
      <c r="Y12" s="11">
        <v>144756017312.14099</v>
      </c>
      <c r="Z12" s="7"/>
      <c r="AA12" s="41">
        <f t="shared" si="0"/>
        <v>3.600153107116473E-2</v>
      </c>
    </row>
    <row r="13" spans="1:29" ht="30" customHeight="1">
      <c r="A13" s="109" t="s">
        <v>20</v>
      </c>
      <c r="B13" s="109"/>
      <c r="C13" s="109"/>
      <c r="D13" s="7"/>
      <c r="E13" s="11">
        <v>3887819</v>
      </c>
      <c r="F13" s="7"/>
      <c r="G13" s="11">
        <v>38189186754</v>
      </c>
      <c r="H13" s="7"/>
      <c r="I13" s="11">
        <v>36880244481.282799</v>
      </c>
      <c r="J13" s="7"/>
      <c r="K13" s="11">
        <v>500000</v>
      </c>
      <c r="L13" s="7"/>
      <c r="M13" s="11">
        <v>4773643166</v>
      </c>
      <c r="N13" s="7"/>
      <c r="O13" s="58">
        <v>0</v>
      </c>
      <c r="P13" s="7"/>
      <c r="Q13" s="11">
        <v>0</v>
      </c>
      <c r="R13" s="7"/>
      <c r="S13" s="11">
        <f t="shared" si="1"/>
        <v>4387819</v>
      </c>
      <c r="T13" s="7"/>
      <c r="U13" s="11">
        <v>9150</v>
      </c>
      <c r="V13" s="7"/>
      <c r="W13" s="11">
        <v>42962829920</v>
      </c>
      <c r="X13" s="7"/>
      <c r="Y13" s="11">
        <v>39838195606.039497</v>
      </c>
      <c r="Z13" s="7"/>
      <c r="AA13" s="41">
        <f t="shared" si="0"/>
        <v>9.9079545262515077E-3</v>
      </c>
    </row>
    <row r="14" spans="1:29" ht="30" customHeight="1">
      <c r="A14" s="109" t="s">
        <v>125</v>
      </c>
      <c r="B14" s="109"/>
      <c r="C14" s="109"/>
      <c r="D14" s="7"/>
      <c r="E14" s="11">
        <v>11318181</v>
      </c>
      <c r="F14" s="7"/>
      <c r="G14" s="11">
        <v>38899368750</v>
      </c>
      <c r="H14" s="7"/>
      <c r="I14" s="11">
        <v>65138010473.045998</v>
      </c>
      <c r="J14" s="7"/>
      <c r="K14" s="11">
        <v>0</v>
      </c>
      <c r="L14" s="7"/>
      <c r="M14" s="11">
        <v>0</v>
      </c>
      <c r="N14" s="7"/>
      <c r="O14" s="56">
        <v>-400000</v>
      </c>
      <c r="P14" s="7"/>
      <c r="Q14" s="11">
        <v>2395339815</v>
      </c>
      <c r="R14" s="7"/>
      <c r="S14" s="11">
        <f t="shared" si="1"/>
        <v>10918181</v>
      </c>
      <c r="T14" s="7"/>
      <c r="U14" s="11">
        <v>5550</v>
      </c>
      <c r="V14" s="7"/>
      <c r="W14" s="11">
        <v>37524611843</v>
      </c>
      <c r="X14" s="7"/>
      <c r="Y14" s="11">
        <v>60127498207.828499</v>
      </c>
      <c r="Z14" s="7"/>
      <c r="AA14" s="41">
        <f t="shared" si="0"/>
        <v>1.4954003537502567E-2</v>
      </c>
    </row>
    <row r="15" spans="1:29" ht="30" customHeight="1">
      <c r="A15" s="109" t="s">
        <v>151</v>
      </c>
      <c r="B15" s="109"/>
      <c r="C15" s="109"/>
      <c r="D15" s="7"/>
      <c r="E15" s="11">
        <v>46829089</v>
      </c>
      <c r="F15" s="7"/>
      <c r="G15" s="11">
        <v>279211650634</v>
      </c>
      <c r="H15" s="7"/>
      <c r="I15" s="11">
        <v>332239766015.51398</v>
      </c>
      <c r="J15" s="7"/>
      <c r="K15" s="11">
        <v>0</v>
      </c>
      <c r="L15" s="7"/>
      <c r="M15" s="11">
        <v>0</v>
      </c>
      <c r="N15" s="7"/>
      <c r="O15" s="58">
        <v>-2052617</v>
      </c>
      <c r="P15" s="65"/>
      <c r="Q15" s="59">
        <v>13607490367</v>
      </c>
      <c r="R15" s="7"/>
      <c r="S15" s="11">
        <f t="shared" si="1"/>
        <v>44776472</v>
      </c>
      <c r="T15" s="7"/>
      <c r="U15" s="11">
        <v>6130</v>
      </c>
      <c r="V15" s="7"/>
      <c r="W15" s="11">
        <v>266973219497</v>
      </c>
      <c r="X15" s="7"/>
      <c r="Y15" s="11">
        <v>272358044711.927</v>
      </c>
      <c r="Z15" s="7"/>
      <c r="AA15" s="41">
        <f t="shared" si="0"/>
        <v>6.7736780765629154E-2</v>
      </c>
    </row>
    <row r="16" spans="1:29" ht="30" customHeight="1">
      <c r="A16" s="109" t="s">
        <v>22</v>
      </c>
      <c r="B16" s="109"/>
      <c r="C16" s="109"/>
      <c r="D16" s="7"/>
      <c r="E16" s="11">
        <v>24852472</v>
      </c>
      <c r="F16" s="7"/>
      <c r="G16" s="11">
        <v>159262939840</v>
      </c>
      <c r="H16" s="7"/>
      <c r="I16" s="11">
        <v>278415491399.35797</v>
      </c>
      <c r="J16" s="7"/>
      <c r="K16" s="11">
        <v>0</v>
      </c>
      <c r="L16" s="7"/>
      <c r="M16" s="11">
        <v>0</v>
      </c>
      <c r="N16" s="7"/>
      <c r="O16" s="58">
        <v>-1</v>
      </c>
      <c r="P16" s="65"/>
      <c r="Q16" s="59">
        <v>1</v>
      </c>
      <c r="R16" s="7"/>
      <c r="S16" s="11">
        <f t="shared" si="1"/>
        <v>24852471</v>
      </c>
      <c r="T16" s="7"/>
      <c r="U16" s="11">
        <v>8020</v>
      </c>
      <c r="V16" s="7"/>
      <c r="W16" s="11">
        <v>159262933432</v>
      </c>
      <c r="X16" s="7"/>
      <c r="Y16" s="11">
        <v>197776098421.34299</v>
      </c>
      <c r="Z16" s="7"/>
      <c r="AA16" s="41">
        <f t="shared" si="0"/>
        <v>4.9187885137072798E-2</v>
      </c>
    </row>
    <row r="17" spans="1:27" ht="30" customHeight="1">
      <c r="A17" s="109" t="s">
        <v>23</v>
      </c>
      <c r="B17" s="109"/>
      <c r="C17" s="109"/>
      <c r="D17" s="7"/>
      <c r="E17" s="11">
        <v>11388509</v>
      </c>
      <c r="F17" s="7"/>
      <c r="G17" s="11">
        <v>41008292208</v>
      </c>
      <c r="H17" s="7"/>
      <c r="I17" s="11">
        <v>42602793861.871101</v>
      </c>
      <c r="J17" s="7"/>
      <c r="K17" s="11">
        <v>0</v>
      </c>
      <c r="L17" s="7"/>
      <c r="M17" s="11">
        <v>0</v>
      </c>
      <c r="N17" s="7"/>
      <c r="O17" s="58">
        <v>-1388509</v>
      </c>
      <c r="P17" s="65"/>
      <c r="Q17" s="59">
        <v>4641913834</v>
      </c>
      <c r="R17" s="7"/>
      <c r="S17" s="11">
        <f t="shared" si="1"/>
        <v>10000000</v>
      </c>
      <c r="T17" s="7"/>
      <c r="U17" s="11">
        <v>3282</v>
      </c>
      <c r="V17" s="7"/>
      <c r="W17" s="11">
        <v>36008482065</v>
      </c>
      <c r="X17" s="7"/>
      <c r="Y17" s="11">
        <v>32566301400</v>
      </c>
      <c r="Z17" s="7"/>
      <c r="AA17" s="41">
        <f t="shared" si="0"/>
        <v>8.0993987918088466E-3</v>
      </c>
    </row>
    <row r="18" spans="1:27" ht="30" customHeight="1">
      <c r="A18" s="109" t="s">
        <v>141</v>
      </c>
      <c r="B18" s="109"/>
      <c r="C18" s="109"/>
      <c r="D18" s="7"/>
      <c r="E18" s="11">
        <v>44279530</v>
      </c>
      <c r="F18" s="7"/>
      <c r="G18" s="11">
        <v>178065550746</v>
      </c>
      <c r="H18" s="7"/>
      <c r="I18" s="11">
        <v>246048595705.35999</v>
      </c>
      <c r="J18" s="7"/>
      <c r="K18" s="11">
        <v>0</v>
      </c>
      <c r="L18" s="7"/>
      <c r="M18" s="11">
        <v>0</v>
      </c>
      <c r="N18" s="7"/>
      <c r="O18" s="58">
        <v>-829530</v>
      </c>
      <c r="P18" s="65"/>
      <c r="Q18" s="59">
        <v>4279303779</v>
      </c>
      <c r="R18" s="7"/>
      <c r="S18" s="11">
        <f t="shared" si="1"/>
        <v>43450000</v>
      </c>
      <c r="T18" s="7"/>
      <c r="U18" s="11">
        <v>5280</v>
      </c>
      <c r="V18" s="7"/>
      <c r="W18" s="11">
        <v>174729681634</v>
      </c>
      <c r="X18" s="7"/>
      <c r="Y18" s="11">
        <v>227642614320</v>
      </c>
      <c r="Z18" s="7"/>
      <c r="AA18" s="41">
        <f t="shared" si="0"/>
        <v>5.6615834040878076E-2</v>
      </c>
    </row>
    <row r="19" spans="1:27" ht="30" customHeight="1">
      <c r="A19" s="109" t="s">
        <v>24</v>
      </c>
      <c r="B19" s="109"/>
      <c r="C19" s="109"/>
      <c r="D19" s="7"/>
      <c r="E19" s="11">
        <v>7305151</v>
      </c>
      <c r="F19" s="7"/>
      <c r="G19" s="11">
        <v>94587017822</v>
      </c>
      <c r="H19" s="7"/>
      <c r="I19" s="11">
        <v>104018589322.74899</v>
      </c>
      <c r="J19" s="7"/>
      <c r="K19" s="11">
        <v>0</v>
      </c>
      <c r="L19" s="7"/>
      <c r="M19" s="11">
        <v>0</v>
      </c>
      <c r="N19" s="7"/>
      <c r="O19" s="52">
        <v>-2800000</v>
      </c>
      <c r="P19" s="7"/>
      <c r="Q19" s="11">
        <v>43052853817</v>
      </c>
      <c r="R19" s="7"/>
      <c r="S19" s="11">
        <f t="shared" si="1"/>
        <v>4505151</v>
      </c>
      <c r="T19" s="7"/>
      <c r="U19" s="11">
        <v>14280</v>
      </c>
      <c r="V19" s="7"/>
      <c r="W19" s="11">
        <v>58332647453</v>
      </c>
      <c r="X19" s="7"/>
      <c r="Y19" s="11">
        <v>63836257889.955597</v>
      </c>
      <c r="Z19" s="7"/>
      <c r="AA19" s="41">
        <f t="shared" si="0"/>
        <v>1.5876390250060893E-2</v>
      </c>
    </row>
    <row r="20" spans="1:27" ht="30" customHeight="1">
      <c r="A20" s="109" t="s">
        <v>25</v>
      </c>
      <c r="B20" s="109"/>
      <c r="C20" s="109"/>
      <c r="D20" s="7"/>
      <c r="E20" s="11">
        <v>11252298</v>
      </c>
      <c r="F20" s="7"/>
      <c r="G20" s="11">
        <v>22468833700</v>
      </c>
      <c r="H20" s="7"/>
      <c r="I20" s="11">
        <v>29900720898.239899</v>
      </c>
      <c r="J20" s="7"/>
      <c r="K20" s="11">
        <v>0</v>
      </c>
      <c r="L20" s="7"/>
      <c r="M20" s="11">
        <v>0</v>
      </c>
      <c r="N20" s="7"/>
      <c r="O20" s="52">
        <v>-300000</v>
      </c>
      <c r="P20" s="7"/>
      <c r="Q20" s="11">
        <v>723118326</v>
      </c>
      <c r="R20" s="7"/>
      <c r="S20" s="11">
        <f t="shared" si="1"/>
        <v>10952298</v>
      </c>
      <c r="T20" s="7"/>
      <c r="U20" s="11">
        <v>2140</v>
      </c>
      <c r="V20" s="7"/>
      <c r="W20" s="11">
        <v>21869787166</v>
      </c>
      <c r="X20" s="7"/>
      <c r="Y20" s="11">
        <v>23256742616.024399</v>
      </c>
      <c r="Z20" s="7"/>
      <c r="AA20" s="41">
        <f t="shared" si="0"/>
        <v>5.7840658886009495E-3</v>
      </c>
    </row>
    <row r="21" spans="1:27" ht="30" customHeight="1">
      <c r="A21" s="109" t="s">
        <v>27</v>
      </c>
      <c r="B21" s="109"/>
      <c r="C21" s="109"/>
      <c r="D21" s="7"/>
      <c r="E21" s="11">
        <v>10330547</v>
      </c>
      <c r="F21" s="7"/>
      <c r="G21" s="11">
        <v>115789827826</v>
      </c>
      <c r="H21" s="7"/>
      <c r="I21" s="11">
        <v>123418330135.14799</v>
      </c>
      <c r="J21" s="7"/>
      <c r="K21" s="11">
        <v>0</v>
      </c>
      <c r="L21" s="7"/>
      <c r="M21" s="11">
        <v>0</v>
      </c>
      <c r="N21" s="7"/>
      <c r="O21" s="58">
        <v>0</v>
      </c>
      <c r="P21" s="7"/>
      <c r="Q21" s="11">
        <v>0</v>
      </c>
      <c r="R21" s="7"/>
      <c r="S21" s="11">
        <f t="shared" si="1"/>
        <v>10330547</v>
      </c>
      <c r="T21" s="7"/>
      <c r="U21" s="11">
        <v>10290</v>
      </c>
      <c r="V21" s="7"/>
      <c r="W21" s="11">
        <v>115789827826</v>
      </c>
      <c r="X21" s="7"/>
      <c r="Y21" s="11">
        <v>105479619359.69</v>
      </c>
      <c r="Z21" s="7"/>
      <c r="AA21" s="41">
        <f t="shared" si="0"/>
        <v>2.6233298375182706E-2</v>
      </c>
    </row>
    <row r="22" spans="1:27" ht="30" customHeight="1">
      <c r="A22" s="109" t="s">
        <v>28</v>
      </c>
      <c r="B22" s="109"/>
      <c r="C22" s="109"/>
      <c r="D22" s="7"/>
      <c r="E22" s="11">
        <v>5113203</v>
      </c>
      <c r="F22" s="7"/>
      <c r="G22" s="11">
        <v>40076789348</v>
      </c>
      <c r="H22" s="7"/>
      <c r="I22" s="11">
        <v>52360356349.159203</v>
      </c>
      <c r="J22" s="7"/>
      <c r="K22" s="11">
        <v>0</v>
      </c>
      <c r="L22" s="7"/>
      <c r="M22" s="11">
        <v>0</v>
      </c>
      <c r="N22" s="7"/>
      <c r="O22" s="58">
        <v>0</v>
      </c>
      <c r="P22" s="7"/>
      <c r="Q22" s="11">
        <v>0</v>
      </c>
      <c r="R22" s="7"/>
      <c r="S22" s="11">
        <f t="shared" si="1"/>
        <v>5113203</v>
      </c>
      <c r="T22" s="7"/>
      <c r="U22" s="11">
        <v>10570</v>
      </c>
      <c r="V22" s="7"/>
      <c r="W22" s="11">
        <v>40076789348</v>
      </c>
      <c r="X22" s="7"/>
      <c r="Y22" s="11">
        <v>53628775834.361702</v>
      </c>
      <c r="Z22" s="7"/>
      <c r="AA22" s="41">
        <f t="shared" si="0"/>
        <v>1.3337739427757574E-2</v>
      </c>
    </row>
    <row r="23" spans="1:27" ht="30" customHeight="1">
      <c r="A23" s="109" t="s">
        <v>29</v>
      </c>
      <c r="B23" s="109"/>
      <c r="C23" s="109"/>
      <c r="D23" s="7"/>
      <c r="E23" s="11">
        <v>68515370</v>
      </c>
      <c r="F23" s="7"/>
      <c r="G23" s="11">
        <v>287029200788</v>
      </c>
      <c r="H23" s="7"/>
      <c r="I23" s="11">
        <v>543206112057.30103</v>
      </c>
      <c r="J23" s="7"/>
      <c r="K23" s="11">
        <v>0</v>
      </c>
      <c r="L23" s="7"/>
      <c r="M23" s="11">
        <v>0</v>
      </c>
      <c r="N23" s="7"/>
      <c r="O23" s="58">
        <v>-15000000</v>
      </c>
      <c r="P23" s="7"/>
      <c r="Q23" s="11">
        <v>128588269996</v>
      </c>
      <c r="R23" s="7"/>
      <c r="S23" s="11">
        <f t="shared" si="1"/>
        <v>53515370</v>
      </c>
      <c r="T23" s="7"/>
      <c r="U23" s="11">
        <v>8330</v>
      </c>
      <c r="V23" s="7"/>
      <c r="W23" s="11">
        <v>224190190923</v>
      </c>
      <c r="X23" s="7"/>
      <c r="Y23" s="11">
        <v>24123075970</v>
      </c>
      <c r="Z23" s="7"/>
      <c r="AA23" s="41">
        <f t="shared" si="0"/>
        <v>5.9995272403310452E-3</v>
      </c>
    </row>
    <row r="24" spans="1:27" ht="30" customHeight="1">
      <c r="A24" s="109" t="s">
        <v>30</v>
      </c>
      <c r="B24" s="109"/>
      <c r="C24" s="109"/>
      <c r="D24" s="7"/>
      <c r="E24" s="11">
        <v>44419814</v>
      </c>
      <c r="F24" s="7"/>
      <c r="G24" s="11">
        <v>203410443298</v>
      </c>
      <c r="H24" s="7"/>
      <c r="I24" s="11">
        <v>361867644958.17401</v>
      </c>
      <c r="J24" s="7"/>
      <c r="K24" s="11">
        <v>0</v>
      </c>
      <c r="L24" s="7"/>
      <c r="M24" s="11">
        <v>0</v>
      </c>
      <c r="N24" s="7"/>
      <c r="O24" s="52">
        <v>-1000000</v>
      </c>
      <c r="P24" s="7"/>
      <c r="Q24" s="11">
        <v>7477515274</v>
      </c>
      <c r="R24" s="7"/>
      <c r="S24" s="11">
        <f t="shared" si="1"/>
        <v>43419814</v>
      </c>
      <c r="T24" s="7"/>
      <c r="U24" s="11">
        <v>7520</v>
      </c>
      <c r="V24" s="7"/>
      <c r="W24" s="11">
        <v>198831170561</v>
      </c>
      <c r="X24" s="7"/>
      <c r="Y24" s="11">
        <v>323993024860.10602</v>
      </c>
      <c r="Z24" s="7"/>
      <c r="AA24" s="41">
        <f t="shared" si="0"/>
        <v>8.0578653433037273E-2</v>
      </c>
    </row>
    <row r="25" spans="1:27" ht="30" customHeight="1">
      <c r="A25" s="109" t="s">
        <v>31</v>
      </c>
      <c r="B25" s="109"/>
      <c r="C25" s="109"/>
      <c r="D25" s="7"/>
      <c r="E25" s="11">
        <v>80324784</v>
      </c>
      <c r="F25" s="7"/>
      <c r="G25" s="11">
        <v>167768604509</v>
      </c>
      <c r="H25" s="7"/>
      <c r="I25" s="11">
        <v>214323715625.51999</v>
      </c>
      <c r="J25" s="7"/>
      <c r="K25" s="11">
        <v>0</v>
      </c>
      <c r="L25" s="7"/>
      <c r="M25" s="11">
        <v>0</v>
      </c>
      <c r="N25" s="7"/>
      <c r="O25" s="52">
        <v>-1000000</v>
      </c>
      <c r="P25" s="7"/>
      <c r="Q25" s="11">
        <v>2926474590</v>
      </c>
      <c r="R25" s="7"/>
      <c r="S25" s="11">
        <f t="shared" si="1"/>
        <v>79324784</v>
      </c>
      <c r="T25" s="7"/>
      <c r="U25" s="11">
        <v>3050</v>
      </c>
      <c r="V25" s="7"/>
      <c r="W25" s="11">
        <v>165679976366</v>
      </c>
      <c r="X25" s="7"/>
      <c r="Y25" s="11">
        <v>240070390430.02399</v>
      </c>
      <c r="Z25" s="7"/>
      <c r="AA25" s="41">
        <f t="shared" si="0"/>
        <v>5.9706682877964601E-2</v>
      </c>
    </row>
    <row r="26" spans="1:27" ht="30" customHeight="1">
      <c r="A26" s="109" t="s">
        <v>32</v>
      </c>
      <c r="B26" s="109"/>
      <c r="C26" s="109"/>
      <c r="D26" s="7"/>
      <c r="E26" s="11">
        <v>83859849</v>
      </c>
      <c r="F26" s="7"/>
      <c r="G26" s="11">
        <v>466408169121</v>
      </c>
      <c r="H26" s="7"/>
      <c r="I26" s="11">
        <v>669021363432.52905</v>
      </c>
      <c r="J26" s="7"/>
      <c r="K26" s="11">
        <v>0</v>
      </c>
      <c r="L26" s="7"/>
      <c r="M26" s="11">
        <v>0</v>
      </c>
      <c r="N26" s="7"/>
      <c r="O26" s="52">
        <v>-1500000</v>
      </c>
      <c r="P26" s="7"/>
      <c r="Q26" s="11">
        <v>10106270006</v>
      </c>
      <c r="R26" s="7"/>
      <c r="S26" s="11">
        <f t="shared" si="1"/>
        <v>82359849</v>
      </c>
      <c r="T26" s="7"/>
      <c r="U26" s="11">
        <v>6790</v>
      </c>
      <c r="V26" s="7"/>
      <c r="W26" s="11">
        <v>458065532421</v>
      </c>
      <c r="X26" s="7"/>
      <c r="Y26" s="11">
        <v>554900578023.49194</v>
      </c>
      <c r="Z26" s="7"/>
      <c r="AA26" s="41">
        <f t="shared" si="0"/>
        <v>0.13800649376835594</v>
      </c>
    </row>
    <row r="27" spans="1:27" ht="30" customHeight="1">
      <c r="A27" s="109" t="s">
        <v>137</v>
      </c>
      <c r="B27" s="109"/>
      <c r="C27" s="109"/>
      <c r="D27" s="7"/>
      <c r="E27" s="11">
        <v>81339549</v>
      </c>
      <c r="F27" s="7"/>
      <c r="G27" s="11">
        <v>220008019421</v>
      </c>
      <c r="H27" s="7"/>
      <c r="I27" s="11">
        <v>451173340060.026</v>
      </c>
      <c r="J27" s="7"/>
      <c r="K27" s="11">
        <v>3000000</v>
      </c>
      <c r="L27" s="7"/>
      <c r="M27" s="11">
        <v>15671638235</v>
      </c>
      <c r="N27" s="7"/>
      <c r="O27" s="52">
        <v>0</v>
      </c>
      <c r="P27" s="7"/>
      <c r="Q27" s="11">
        <v>0</v>
      </c>
      <c r="R27" s="7"/>
      <c r="S27" s="11">
        <f t="shared" si="1"/>
        <v>84339549</v>
      </c>
      <c r="T27" s="7"/>
      <c r="U27" s="11">
        <v>4476</v>
      </c>
      <c r="V27" s="7"/>
      <c r="W27" s="11">
        <v>235679657656</v>
      </c>
      <c r="X27" s="7"/>
      <c r="Y27" s="11">
        <v>374585716785.16498</v>
      </c>
      <c r="Z27" s="7"/>
      <c r="AA27" s="41">
        <f t="shared" si="0"/>
        <v>9.3161303910262783E-2</v>
      </c>
    </row>
    <row r="28" spans="1:27" ht="30" customHeight="1">
      <c r="A28" s="109" t="s">
        <v>33</v>
      </c>
      <c r="B28" s="109"/>
      <c r="C28" s="109"/>
      <c r="D28" s="7"/>
      <c r="E28" s="11">
        <v>13350000</v>
      </c>
      <c r="F28" s="7"/>
      <c r="G28" s="11">
        <v>236922051265</v>
      </c>
      <c r="H28" s="7"/>
      <c r="I28" s="11">
        <v>288250465920</v>
      </c>
      <c r="J28" s="7"/>
      <c r="K28" s="11">
        <v>0</v>
      </c>
      <c r="L28" s="7"/>
      <c r="M28" s="11">
        <v>0</v>
      </c>
      <c r="N28" s="7"/>
      <c r="O28" s="58">
        <v>0</v>
      </c>
      <c r="P28" s="65"/>
      <c r="Q28" s="59">
        <v>0</v>
      </c>
      <c r="R28" s="7"/>
      <c r="S28" s="11">
        <f t="shared" si="1"/>
        <v>13350000</v>
      </c>
      <c r="T28" s="7"/>
      <c r="U28" s="11">
        <v>20170</v>
      </c>
      <c r="V28" s="7"/>
      <c r="W28" s="11">
        <v>236922051265</v>
      </c>
      <c r="X28" s="7"/>
      <c r="Y28" s="11">
        <v>267188046765</v>
      </c>
      <c r="Z28" s="7"/>
      <c r="AA28" s="41">
        <f t="shared" si="0"/>
        <v>6.6450976933911415E-2</v>
      </c>
    </row>
    <row r="29" spans="1:27" ht="30" customHeight="1">
      <c r="A29" s="110" t="s">
        <v>127</v>
      </c>
      <c r="B29" s="110"/>
      <c r="C29" s="110"/>
      <c r="D29" s="7"/>
      <c r="E29" s="11">
        <v>880000</v>
      </c>
      <c r="F29" s="7"/>
      <c r="G29" s="11">
        <v>4694602010</v>
      </c>
      <c r="H29" s="7"/>
      <c r="I29" s="11">
        <v>4455927352.8000002</v>
      </c>
      <c r="J29" s="7"/>
      <c r="K29" s="11">
        <v>0</v>
      </c>
      <c r="L29" s="7"/>
      <c r="M29" s="11">
        <v>0</v>
      </c>
      <c r="N29" s="7"/>
      <c r="O29" s="52">
        <v>0</v>
      </c>
      <c r="P29" s="7"/>
      <c r="Q29" s="11">
        <v>0</v>
      </c>
      <c r="R29" s="7"/>
      <c r="S29" s="11">
        <f t="shared" si="1"/>
        <v>880000</v>
      </c>
      <c r="T29" s="7"/>
      <c r="U29" s="11">
        <v>4739</v>
      </c>
      <c r="V29" s="7"/>
      <c r="W29" s="11">
        <v>4694602010</v>
      </c>
      <c r="X29" s="7"/>
      <c r="Y29" s="11">
        <v>4138083426.4000001</v>
      </c>
      <c r="Z29" s="7"/>
      <c r="AA29" s="41">
        <f t="shared" si="0"/>
        <v>1.0291616322198743E-3</v>
      </c>
    </row>
    <row r="30" spans="1:27" ht="30" customHeight="1">
      <c r="A30" s="109" t="s">
        <v>38</v>
      </c>
      <c r="B30" s="109"/>
      <c r="C30" s="109"/>
      <c r="D30" s="7"/>
      <c r="E30" s="11">
        <v>6450000</v>
      </c>
      <c r="F30" s="7"/>
      <c r="G30" s="11">
        <v>14158098202</v>
      </c>
      <c r="H30" s="7"/>
      <c r="I30" s="11">
        <v>19098022236</v>
      </c>
      <c r="J30" s="7"/>
      <c r="K30" s="11">
        <v>0</v>
      </c>
      <c r="L30" s="7"/>
      <c r="M30" s="11">
        <v>0</v>
      </c>
      <c r="N30" s="7"/>
      <c r="O30" s="58">
        <v>-710000</v>
      </c>
      <c r="P30" s="65"/>
      <c r="Q30" s="59">
        <v>1582120499</v>
      </c>
      <c r="R30" s="7"/>
      <c r="S30" s="11">
        <f t="shared" si="1"/>
        <v>5740000</v>
      </c>
      <c r="T30" s="7"/>
      <c r="U30" s="11">
        <v>2242</v>
      </c>
      <c r="V30" s="7"/>
      <c r="W30" s="11">
        <v>12599609872</v>
      </c>
      <c r="X30" s="7"/>
      <c r="Y30" s="11">
        <v>12769602011.6</v>
      </c>
      <c r="Z30" s="7"/>
      <c r="AA30" s="41">
        <f t="shared" si="0"/>
        <v>3.1758626143720721E-3</v>
      </c>
    </row>
    <row r="31" spans="1:27" ht="30" customHeight="1">
      <c r="A31" s="109" t="s">
        <v>40</v>
      </c>
      <c r="B31" s="109"/>
      <c r="C31" s="109"/>
      <c r="D31" s="7"/>
      <c r="E31" s="11">
        <v>315594</v>
      </c>
      <c r="F31" s="7"/>
      <c r="G31" s="11">
        <v>1099747949</v>
      </c>
      <c r="H31" s="7"/>
      <c r="I31" s="11">
        <v>1127982359.08476</v>
      </c>
      <c r="J31" s="7"/>
      <c r="K31" s="11">
        <v>0</v>
      </c>
      <c r="L31" s="7"/>
      <c r="M31" s="11">
        <v>0</v>
      </c>
      <c r="N31" s="7"/>
      <c r="O31" s="58">
        <v>0</v>
      </c>
      <c r="P31" s="65"/>
      <c r="Q31" s="59">
        <v>0</v>
      </c>
      <c r="R31" s="7"/>
      <c r="S31" s="11">
        <f t="shared" si="1"/>
        <v>315594</v>
      </c>
      <c r="T31" s="7"/>
      <c r="U31" s="11">
        <v>3378</v>
      </c>
      <c r="V31" s="7"/>
      <c r="W31" s="11">
        <v>1099747949</v>
      </c>
      <c r="X31" s="7"/>
      <c r="Y31" s="11">
        <v>1057835760.40764</v>
      </c>
      <c r="Z31" s="7"/>
      <c r="AA31" s="41">
        <f t="shared" si="0"/>
        <v>2.6308893891701908E-4</v>
      </c>
    </row>
    <row r="32" spans="1:27" ht="30" customHeight="1">
      <c r="A32" s="109" t="s">
        <v>128</v>
      </c>
      <c r="B32" s="109"/>
      <c r="C32" s="109"/>
      <c r="D32" s="7"/>
      <c r="E32" s="11">
        <v>2000000</v>
      </c>
      <c r="F32" s="7"/>
      <c r="G32" s="11">
        <v>31548620160</v>
      </c>
      <c r="H32" s="7"/>
      <c r="I32" s="11">
        <v>27525569800</v>
      </c>
      <c r="J32" s="7"/>
      <c r="K32" s="11">
        <v>0</v>
      </c>
      <c r="L32" s="7"/>
      <c r="M32" s="11">
        <v>0</v>
      </c>
      <c r="N32" s="7"/>
      <c r="O32" s="56">
        <v>0</v>
      </c>
      <c r="P32" s="7"/>
      <c r="Q32" s="11">
        <v>0</v>
      </c>
      <c r="R32" s="7"/>
      <c r="S32" s="11">
        <f t="shared" si="1"/>
        <v>2000000</v>
      </c>
      <c r="T32" s="7"/>
      <c r="U32" s="11">
        <v>11490</v>
      </c>
      <c r="V32" s="7"/>
      <c r="W32" s="11">
        <v>31548620160</v>
      </c>
      <c r="X32" s="7"/>
      <c r="Y32" s="11">
        <v>22802364600</v>
      </c>
      <c r="Z32" s="7"/>
      <c r="AA32" s="41">
        <f t="shared" si="0"/>
        <v>5.6710598487436717E-3</v>
      </c>
    </row>
    <row r="33" spans="1:29" ht="30" customHeight="1">
      <c r="A33" s="109" t="s">
        <v>132</v>
      </c>
      <c r="B33" s="109"/>
      <c r="C33" s="109"/>
      <c r="D33" s="7"/>
      <c r="E33" s="11">
        <v>21978028</v>
      </c>
      <c r="F33" s="7"/>
      <c r="G33" s="11">
        <v>73217404944</v>
      </c>
      <c r="H33" s="7"/>
      <c r="I33" s="11">
        <v>99881271323.504807</v>
      </c>
      <c r="J33" s="7"/>
      <c r="K33" s="11">
        <v>0</v>
      </c>
      <c r="L33" s="7"/>
      <c r="M33" s="11">
        <v>0</v>
      </c>
      <c r="N33" s="7"/>
      <c r="O33" s="58">
        <v>0</v>
      </c>
      <c r="P33" s="65"/>
      <c r="Q33" s="59">
        <v>0</v>
      </c>
      <c r="R33" s="7"/>
      <c r="S33" s="11">
        <f t="shared" si="1"/>
        <v>21978028</v>
      </c>
      <c r="T33" s="7"/>
      <c r="U33" s="11">
        <v>3581</v>
      </c>
      <c r="V33" s="7"/>
      <c r="W33" s="11">
        <v>73217404944</v>
      </c>
      <c r="X33" s="7"/>
      <c r="Y33" s="11">
        <v>78094941617.788406</v>
      </c>
      <c r="Z33" s="7"/>
      <c r="AA33" s="41">
        <f t="shared" si="0"/>
        <v>1.9422594786446885E-2</v>
      </c>
    </row>
    <row r="34" spans="1:29" ht="30" customHeight="1">
      <c r="A34" s="109" t="s">
        <v>146</v>
      </c>
      <c r="B34" s="109"/>
      <c r="C34" s="109"/>
      <c r="D34" s="7"/>
      <c r="E34" s="11">
        <v>1470838</v>
      </c>
      <c r="F34" s="7"/>
      <c r="G34" s="11">
        <v>29069972873</v>
      </c>
      <c r="H34" s="7"/>
      <c r="I34" s="11">
        <v>37391580978.301201</v>
      </c>
      <c r="J34" s="7"/>
      <c r="K34" s="11">
        <v>0</v>
      </c>
      <c r="L34" s="7"/>
      <c r="M34" s="11">
        <v>0</v>
      </c>
      <c r="N34" s="7"/>
      <c r="O34" s="58">
        <v>0</v>
      </c>
      <c r="P34" s="65"/>
      <c r="Q34" s="59">
        <v>0</v>
      </c>
      <c r="R34" s="7"/>
      <c r="S34" s="11">
        <f t="shared" si="1"/>
        <v>1470838</v>
      </c>
      <c r="T34" s="7"/>
      <c r="U34" s="11">
        <v>20750</v>
      </c>
      <c r="V34" s="7"/>
      <c r="W34" s="11">
        <v>29069972873</v>
      </c>
      <c r="X34" s="7"/>
      <c r="Y34" s="11">
        <v>30283969761.895</v>
      </c>
      <c r="Z34" s="7"/>
      <c r="AA34" s="41">
        <f t="shared" si="0"/>
        <v>7.531771725869614E-3</v>
      </c>
    </row>
    <row r="35" spans="1:29" ht="30" customHeight="1">
      <c r="A35" s="109" t="s">
        <v>147</v>
      </c>
      <c r="B35" s="109"/>
      <c r="C35" s="109"/>
      <c r="D35" s="7"/>
      <c r="E35" s="11">
        <v>1104121</v>
      </c>
      <c r="F35" s="7"/>
      <c r="G35" s="11">
        <v>3873416232</v>
      </c>
      <c r="H35" s="7"/>
      <c r="I35" s="11">
        <v>4751557109.4337902</v>
      </c>
      <c r="J35" s="7"/>
      <c r="K35" s="11">
        <v>0</v>
      </c>
      <c r="L35" s="7"/>
      <c r="M35" s="11">
        <v>0</v>
      </c>
      <c r="N35" s="7"/>
      <c r="O35" s="58">
        <v>0</v>
      </c>
      <c r="P35" s="65"/>
      <c r="Q35" s="59">
        <v>0</v>
      </c>
      <c r="R35" s="7"/>
      <c r="S35" s="11">
        <f t="shared" si="1"/>
        <v>1104121</v>
      </c>
      <c r="T35" s="7"/>
      <c r="U35" s="11">
        <v>3665</v>
      </c>
      <c r="V35" s="7"/>
      <c r="W35" s="11">
        <v>3873416232</v>
      </c>
      <c r="X35" s="7"/>
      <c r="Y35" s="11">
        <v>4015323220.2155499</v>
      </c>
      <c r="Z35" s="7"/>
      <c r="AA35" s="41">
        <f t="shared" si="0"/>
        <v>9.9863056719532274E-4</v>
      </c>
    </row>
    <row r="36" spans="1:29" ht="30" customHeight="1">
      <c r="A36" s="109" t="s">
        <v>145</v>
      </c>
      <c r="B36" s="109"/>
      <c r="C36" s="109"/>
      <c r="D36" s="7"/>
      <c r="E36" s="11">
        <v>1104119</v>
      </c>
      <c r="F36" s="7"/>
      <c r="G36" s="11">
        <v>77522896803</v>
      </c>
      <c r="H36" s="7"/>
      <c r="I36" s="11">
        <v>102480942338.56</v>
      </c>
      <c r="J36" s="7"/>
      <c r="K36" s="11">
        <v>0</v>
      </c>
      <c r="L36" s="7"/>
      <c r="M36" s="11">
        <v>0</v>
      </c>
      <c r="N36" s="7"/>
      <c r="O36" s="58">
        <v>-40000</v>
      </c>
      <c r="P36" s="65"/>
      <c r="Q36" s="59">
        <v>3700106041</v>
      </c>
      <c r="R36" s="7"/>
      <c r="S36" s="11">
        <f t="shared" si="1"/>
        <v>1064119</v>
      </c>
      <c r="T36" s="7"/>
      <c r="U36" s="11">
        <v>79120</v>
      </c>
      <c r="V36" s="7"/>
      <c r="W36" s="11">
        <v>74714398922</v>
      </c>
      <c r="X36" s="7"/>
      <c r="Y36" s="11">
        <v>83542282653.485596</v>
      </c>
      <c r="Z36" s="7"/>
      <c r="AA36" s="41">
        <f t="shared" si="0"/>
        <v>2.0777375203823251E-2</v>
      </c>
    </row>
    <row r="37" spans="1:29" ht="30" customHeight="1">
      <c r="A37" s="109" t="s">
        <v>148</v>
      </c>
      <c r="B37" s="109"/>
      <c r="C37" s="109"/>
      <c r="D37" s="7"/>
      <c r="E37" s="11">
        <v>3008</v>
      </c>
      <c r="F37" s="7"/>
      <c r="G37" s="11">
        <v>5506682057</v>
      </c>
      <c r="H37" s="7"/>
      <c r="I37" s="11">
        <v>5899541054.3615999</v>
      </c>
      <c r="J37" s="7"/>
      <c r="K37" s="11">
        <v>0</v>
      </c>
      <c r="L37" s="7"/>
      <c r="M37" s="11">
        <v>0</v>
      </c>
      <c r="N37" s="7"/>
      <c r="O37" s="58">
        <v>0</v>
      </c>
      <c r="P37" s="65"/>
      <c r="Q37" s="59">
        <v>0</v>
      </c>
      <c r="R37" s="7"/>
      <c r="S37" s="11">
        <f t="shared" si="1"/>
        <v>3008</v>
      </c>
      <c r="T37" s="7"/>
      <c r="U37" s="11">
        <v>1909000</v>
      </c>
      <c r="V37" s="7"/>
      <c r="W37" s="11">
        <v>5506682057</v>
      </c>
      <c r="X37" s="7"/>
      <c r="Y37" s="11">
        <v>5728490547.1999998</v>
      </c>
      <c r="Z37" s="7"/>
      <c r="AA37" s="41">
        <f t="shared" si="0"/>
        <v>1.4247036790269367E-3</v>
      </c>
    </row>
    <row r="38" spans="1:29" ht="30" customHeight="1">
      <c r="A38" s="109" t="s">
        <v>34</v>
      </c>
      <c r="B38" s="109"/>
      <c r="C38" s="109"/>
      <c r="D38" s="7"/>
      <c r="E38" s="11">
        <v>700000</v>
      </c>
      <c r="F38" s="7"/>
      <c r="G38" s="11">
        <v>20490829550</v>
      </c>
      <c r="H38" s="7"/>
      <c r="I38" s="11">
        <v>23081192470</v>
      </c>
      <c r="J38" s="7"/>
      <c r="K38" s="11">
        <v>0</v>
      </c>
      <c r="L38" s="7"/>
      <c r="M38" s="11">
        <v>0</v>
      </c>
      <c r="N38" s="7"/>
      <c r="O38" s="58">
        <v>0</v>
      </c>
      <c r="P38" s="65"/>
      <c r="Q38" s="59">
        <v>0</v>
      </c>
      <c r="R38" s="7"/>
      <c r="S38" s="11">
        <f t="shared" si="1"/>
        <v>700000</v>
      </c>
      <c r="T38" s="7"/>
      <c r="U38" s="11">
        <v>34730</v>
      </c>
      <c r="V38" s="7"/>
      <c r="W38" s="11">
        <v>20490829550</v>
      </c>
      <c r="X38" s="7"/>
      <c r="Y38" s="11">
        <v>442337129261.867</v>
      </c>
      <c r="Z38" s="7"/>
      <c r="AA38" s="41">
        <f t="shared" si="0"/>
        <v>0.11001141229736822</v>
      </c>
    </row>
    <row r="39" spans="1:29" ht="30" customHeight="1">
      <c r="A39" s="109" t="s">
        <v>149</v>
      </c>
      <c r="B39" s="109"/>
      <c r="C39" s="109"/>
      <c r="D39" s="7"/>
      <c r="E39" s="11">
        <v>1825000</v>
      </c>
      <c r="F39" s="7"/>
      <c r="G39" s="11">
        <v>42752488150</v>
      </c>
      <c r="H39" s="7"/>
      <c r="I39" s="11">
        <v>52063166562.5</v>
      </c>
      <c r="J39" s="7"/>
      <c r="K39" s="11">
        <v>5354158</v>
      </c>
      <c r="L39" s="7"/>
      <c r="M39" s="11">
        <v>0</v>
      </c>
      <c r="N39" s="7"/>
      <c r="O39" s="58">
        <v>0</v>
      </c>
      <c r="P39" s="65"/>
      <c r="Q39" s="59">
        <v>0</v>
      </c>
      <c r="R39" s="7"/>
      <c r="S39" s="11">
        <f t="shared" si="1"/>
        <v>7179158</v>
      </c>
      <c r="T39" s="7"/>
      <c r="U39" s="11">
        <v>7016</v>
      </c>
      <c r="V39" s="7"/>
      <c r="W39" s="11">
        <v>42752488150</v>
      </c>
      <c r="X39" s="7"/>
      <c r="Y39" s="11">
        <v>49979620370.358597</v>
      </c>
      <c r="Z39" s="7"/>
      <c r="AA39" s="41">
        <f t="shared" si="0"/>
        <v>1.2430176576414886E-2</v>
      </c>
    </row>
    <row r="40" spans="1:29" ht="30" customHeight="1">
      <c r="A40" s="109" t="s">
        <v>21</v>
      </c>
      <c r="B40" s="109"/>
      <c r="C40" s="109"/>
      <c r="D40" s="7"/>
      <c r="E40" s="11">
        <v>1365000</v>
      </c>
      <c r="F40" s="7"/>
      <c r="G40" s="11">
        <v>75819656367</v>
      </c>
      <c r="H40" s="7"/>
      <c r="I40" s="11">
        <v>91154387415</v>
      </c>
      <c r="J40" s="7"/>
      <c r="K40" s="11">
        <v>0</v>
      </c>
      <c r="L40" s="7"/>
      <c r="M40" s="11">
        <v>0</v>
      </c>
      <c r="N40" s="7"/>
      <c r="O40" s="58">
        <v>0</v>
      </c>
      <c r="P40" s="65"/>
      <c r="Q40" s="59">
        <v>0</v>
      </c>
      <c r="R40" s="7"/>
      <c r="S40" s="11">
        <f t="shared" si="1"/>
        <v>1365000</v>
      </c>
      <c r="T40" s="7"/>
      <c r="U40" s="11">
        <v>57600</v>
      </c>
      <c r="V40" s="7"/>
      <c r="W40" s="11">
        <v>75819656367</v>
      </c>
      <c r="X40" s="7"/>
      <c r="Y40" s="11">
        <v>78016236480</v>
      </c>
      <c r="Z40" s="7"/>
      <c r="AA40" s="41">
        <f t="shared" si="0"/>
        <v>1.9403020432881744E-2</v>
      </c>
    </row>
    <row r="41" spans="1:29" ht="30" customHeight="1">
      <c r="A41" s="109" t="s">
        <v>154</v>
      </c>
      <c r="B41" s="109"/>
      <c r="C41" s="109"/>
      <c r="D41" s="7"/>
      <c r="E41" s="11">
        <v>4750000</v>
      </c>
      <c r="F41" s="7"/>
      <c r="G41" s="11">
        <v>21347690685</v>
      </c>
      <c r="H41" s="7"/>
      <c r="I41" s="11">
        <v>22369238745</v>
      </c>
      <c r="J41" s="7"/>
      <c r="K41" s="11">
        <v>2000000</v>
      </c>
      <c r="L41" s="7"/>
      <c r="M41" s="11">
        <v>9380524628</v>
      </c>
      <c r="N41" s="7"/>
      <c r="O41" s="58">
        <v>0</v>
      </c>
      <c r="P41" s="65"/>
      <c r="Q41" s="59">
        <v>0</v>
      </c>
      <c r="R41" s="7"/>
      <c r="S41" s="11">
        <f t="shared" si="1"/>
        <v>6750000</v>
      </c>
      <c r="T41" s="7"/>
      <c r="U41" s="11">
        <v>4558</v>
      </c>
      <c r="V41" s="7"/>
      <c r="W41" s="11">
        <v>30728215313</v>
      </c>
      <c r="X41" s="7"/>
      <c r="Y41" s="11">
        <v>30528674955</v>
      </c>
      <c r="Z41" s="7"/>
      <c r="AA41" s="41">
        <f t="shared" si="0"/>
        <v>7.5926311068917401E-3</v>
      </c>
    </row>
    <row r="42" spans="1:29" ht="30" customHeight="1">
      <c r="A42" s="28"/>
      <c r="B42" s="28"/>
      <c r="C42" s="28" t="s">
        <v>157</v>
      </c>
      <c r="D42" s="7"/>
      <c r="E42" s="11">
        <v>0</v>
      </c>
      <c r="F42" s="7"/>
      <c r="G42" s="11">
        <v>0</v>
      </c>
      <c r="H42" s="7"/>
      <c r="I42" s="11">
        <v>0</v>
      </c>
      <c r="J42" s="7"/>
      <c r="K42" s="11">
        <v>1415135</v>
      </c>
      <c r="L42" s="7"/>
      <c r="M42" s="11">
        <v>9132891394</v>
      </c>
      <c r="N42" s="7"/>
      <c r="O42" s="58">
        <v>0</v>
      </c>
      <c r="P42" s="65"/>
      <c r="Q42" s="59">
        <v>0</v>
      </c>
      <c r="R42" s="7"/>
      <c r="S42" s="11">
        <f>K42+O42+E42</f>
        <v>1415135</v>
      </c>
      <c r="T42" s="7"/>
      <c r="U42" s="11">
        <v>6360</v>
      </c>
      <c r="V42" s="7"/>
      <c r="W42" s="11">
        <v>9132891394</v>
      </c>
      <c r="X42" s="7"/>
      <c r="Y42" s="11">
        <v>8930686601.0219994</v>
      </c>
      <c r="Z42" s="7"/>
      <c r="AA42" s="41">
        <f t="shared" si="0"/>
        <v>2.2211055341501275E-3</v>
      </c>
    </row>
    <row r="43" spans="1:29" s="26" customFormat="1" ht="30" customHeight="1" thickBot="1">
      <c r="A43" s="111" t="s">
        <v>43</v>
      </c>
      <c r="B43" s="111"/>
      <c r="C43" s="111"/>
      <c r="D43" s="67"/>
      <c r="E43" s="22">
        <f>SUM(E9:E42)</f>
        <v>624591292</v>
      </c>
      <c r="F43" s="20"/>
      <c r="G43" s="22">
        <f>SUM(G9:G42)</f>
        <v>3265283527303</v>
      </c>
      <c r="H43" s="22"/>
      <c r="I43" s="22">
        <f>SUM(I9:I42)</f>
        <v>4662267692573.4453</v>
      </c>
      <c r="J43" s="20"/>
      <c r="K43" s="22">
        <f>SUM(K9:K42)</f>
        <v>12269293</v>
      </c>
      <c r="L43" s="20"/>
      <c r="M43" s="22">
        <f>SUM(M9:M42)</f>
        <v>38958697423</v>
      </c>
      <c r="N43" s="20"/>
      <c r="O43" s="61">
        <f>SUM(O9:O42)</f>
        <v>-28720657</v>
      </c>
      <c r="P43" s="20"/>
      <c r="Q43" s="22">
        <f>SUM(Q9:Q42)</f>
        <v>236133161490</v>
      </c>
      <c r="R43" s="20"/>
      <c r="S43" s="22">
        <f>SUM(S9:S42)</f>
        <v>608139928</v>
      </c>
      <c r="T43" s="20"/>
      <c r="U43" s="60"/>
      <c r="V43" s="20"/>
      <c r="W43" s="22">
        <f>SUM(W9:W42)</f>
        <v>3152089955504</v>
      </c>
      <c r="X43" s="20"/>
      <c r="Y43" s="22">
        <f>SUM(Y9:Y42)</f>
        <v>3986637358628.561</v>
      </c>
      <c r="Z43" s="20"/>
      <c r="AA43" s="43">
        <f>SUM(AA9:AB42)</f>
        <v>0.99149625280616571</v>
      </c>
      <c r="AB43" s="36"/>
      <c r="AC43" s="36"/>
    </row>
    <row r="44" spans="1:29" ht="30" customHeight="1" thickTop="1">
      <c r="Y44" s="31"/>
    </row>
    <row r="45" spans="1:29" ht="30" customHeight="1">
      <c r="Y45" s="31"/>
    </row>
    <row r="46" spans="1:29" ht="30" customHeight="1">
      <c r="M46" s="11"/>
    </row>
  </sheetData>
  <mergeCells count="55">
    <mergeCell ref="A1:AA1"/>
    <mergeCell ref="A2:AA2"/>
    <mergeCell ref="A3:AA3"/>
    <mergeCell ref="B4:AA4"/>
    <mergeCell ref="A5:B5"/>
    <mergeCell ref="C5:AA5"/>
    <mergeCell ref="K6:Q6"/>
    <mergeCell ref="S6:AA6"/>
    <mergeCell ref="K7:M7"/>
    <mergeCell ref="O7:Q7"/>
    <mergeCell ref="G7:G8"/>
    <mergeCell ref="I7:I8"/>
    <mergeCell ref="S7:S8"/>
    <mergeCell ref="U7:U8"/>
    <mergeCell ref="W7:W8"/>
    <mergeCell ref="Y7:Y8"/>
    <mergeCell ref="AA7:AA8"/>
    <mergeCell ref="A14:C14"/>
    <mergeCell ref="A9:C9"/>
    <mergeCell ref="A10:C10"/>
    <mergeCell ref="E6:I6"/>
    <mergeCell ref="E7:E8"/>
    <mergeCell ref="A6:C6"/>
    <mergeCell ref="A7:C8"/>
    <mergeCell ref="A11:C11"/>
    <mergeCell ref="A12:C12"/>
    <mergeCell ref="A13:C13"/>
    <mergeCell ref="A43:C43"/>
    <mergeCell ref="A30:C30"/>
    <mergeCell ref="A31:C31"/>
    <mergeCell ref="A32:C32"/>
    <mergeCell ref="A34:C34"/>
    <mergeCell ref="A35:C35"/>
    <mergeCell ref="A36:C36"/>
    <mergeCell ref="A37:C37"/>
    <mergeCell ref="A39:C39"/>
    <mergeCell ref="A38:C38"/>
    <mergeCell ref="A40:C40"/>
    <mergeCell ref="A33:C33"/>
    <mergeCell ref="A41:C41"/>
    <mergeCell ref="A28:C28"/>
    <mergeCell ref="A29:C29"/>
    <mergeCell ref="A23:C23"/>
    <mergeCell ref="A24:C24"/>
    <mergeCell ref="A25:C25"/>
    <mergeCell ref="A26:C26"/>
    <mergeCell ref="A27:C27"/>
    <mergeCell ref="A19:C19"/>
    <mergeCell ref="A20:C20"/>
    <mergeCell ref="A21:C21"/>
    <mergeCell ref="A22:C22"/>
    <mergeCell ref="A15:C15"/>
    <mergeCell ref="A16:C16"/>
    <mergeCell ref="A17:C17"/>
    <mergeCell ref="A18:C18"/>
  </mergeCells>
  <pageMargins left="0.39" right="0.39" top="0.39" bottom="0.39" header="0" footer="0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P10"/>
  <sheetViews>
    <sheetView rightToLeft="1" view="pageBreakPreview" topLeftCell="B1" zoomScaleNormal="100" zoomScaleSheetLayoutView="100" workbookViewId="0">
      <selection activeCell="N1" sqref="N1"/>
    </sheetView>
  </sheetViews>
  <sheetFormatPr defaultRowHeight="30" customHeight="1"/>
  <cols>
    <col min="1" max="1" width="5.140625" style="17" customWidth="1"/>
    <col min="2" max="2" width="35" style="17" customWidth="1"/>
    <col min="3" max="3" width="1.28515625" style="17" customWidth="1"/>
    <col min="4" max="4" width="20.140625" style="17" customWidth="1"/>
    <col min="5" max="5" width="1.28515625" style="17" customWidth="1"/>
    <col min="6" max="6" width="19.7109375" style="17" customWidth="1"/>
    <col min="7" max="7" width="1.28515625" style="17" customWidth="1"/>
    <col min="8" max="8" width="20" style="17" customWidth="1"/>
    <col min="9" max="9" width="1.28515625" style="17" customWidth="1"/>
    <col min="10" max="10" width="18.5703125" style="17" bestFit="1" customWidth="1"/>
    <col min="11" max="11" width="1.28515625" style="17" customWidth="1"/>
    <col min="12" max="12" width="14.140625" style="17" customWidth="1"/>
    <col min="13" max="13" width="0.28515625" style="21" customWidth="1"/>
    <col min="14" max="14" width="27" style="21" customWidth="1"/>
    <col min="15" max="15" width="9.140625" style="21"/>
    <col min="16" max="16" width="14.42578125" style="21" customWidth="1"/>
    <col min="17" max="16384" width="9.140625" style="21"/>
  </cols>
  <sheetData>
    <row r="1" spans="1:16" ht="30" customHeight="1">
      <c r="A1" s="111" t="s">
        <v>109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6" ht="30" customHeight="1">
      <c r="A2" s="111" t="s">
        <v>110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6" ht="30" customHeight="1">
      <c r="A3" s="111" t="s">
        <v>155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6" ht="30" customHeight="1">
      <c r="A4" s="16" t="s">
        <v>45</v>
      </c>
      <c r="B4" s="122" t="s">
        <v>46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6" ht="30" customHeight="1">
      <c r="D5" s="1" t="s">
        <v>153</v>
      </c>
      <c r="F5" s="113" t="s">
        <v>6</v>
      </c>
      <c r="G5" s="113"/>
      <c r="H5" s="113"/>
      <c r="J5" s="124" t="s">
        <v>156</v>
      </c>
      <c r="K5" s="124"/>
      <c r="L5" s="124"/>
    </row>
    <row r="6" spans="1:16" ht="40.5" customHeight="1">
      <c r="A6" s="113" t="s">
        <v>47</v>
      </c>
      <c r="B6" s="113"/>
      <c r="D6" s="1" t="s">
        <v>48</v>
      </c>
      <c r="F6" s="1" t="s">
        <v>49</v>
      </c>
      <c r="H6" s="1" t="s">
        <v>50</v>
      </c>
      <c r="J6" s="20" t="s">
        <v>48</v>
      </c>
      <c r="L6" s="49" t="s">
        <v>14</v>
      </c>
      <c r="P6" s="11"/>
    </row>
    <row r="7" spans="1:16" ht="30" customHeight="1">
      <c r="A7" s="123" t="s">
        <v>51</v>
      </c>
      <c r="B7" s="123"/>
      <c r="C7" s="7"/>
      <c r="D7" s="9">
        <v>379338791</v>
      </c>
      <c r="E7" s="7"/>
      <c r="F7" s="9">
        <v>116675917101</v>
      </c>
      <c r="G7" s="7"/>
      <c r="H7" s="51">
        <v>-114337560244</v>
      </c>
      <c r="I7" s="7"/>
      <c r="J7" s="11">
        <f>D7+F7+H7</f>
        <v>2717695648</v>
      </c>
      <c r="K7" s="7"/>
      <c r="L7" s="12">
        <v>0</v>
      </c>
    </row>
    <row r="8" spans="1:16" ht="30" customHeight="1">
      <c r="A8" s="116" t="s">
        <v>52</v>
      </c>
      <c r="B8" s="116"/>
      <c r="C8" s="7"/>
      <c r="D8" s="11">
        <v>3907125</v>
      </c>
      <c r="E8" s="7"/>
      <c r="F8" s="11">
        <v>16057</v>
      </c>
      <c r="G8" s="7"/>
      <c r="H8" s="52">
        <v>0</v>
      </c>
      <c r="I8" s="7"/>
      <c r="J8" s="11">
        <f t="shared" ref="J8" si="0">D8+F8+H8</f>
        <v>3923182</v>
      </c>
      <c r="K8" s="7"/>
      <c r="L8" s="12">
        <v>0</v>
      </c>
    </row>
    <row r="9" spans="1:16" ht="30" customHeight="1">
      <c r="A9" s="116" t="s">
        <v>53</v>
      </c>
      <c r="B9" s="116"/>
      <c r="C9" s="7"/>
      <c r="D9" s="13">
        <v>14953722</v>
      </c>
      <c r="E9" s="7"/>
      <c r="F9" s="13">
        <v>61202</v>
      </c>
      <c r="G9" s="7"/>
      <c r="H9" s="53">
        <v>0</v>
      </c>
      <c r="I9" s="7"/>
      <c r="J9" s="11">
        <f>D9+F9+H9</f>
        <v>15014924</v>
      </c>
      <c r="K9" s="7"/>
      <c r="L9" s="14">
        <v>0</v>
      </c>
    </row>
    <row r="10" spans="1:16" s="24" customFormat="1" ht="30" customHeight="1">
      <c r="A10" s="111" t="s">
        <v>43</v>
      </c>
      <c r="B10" s="111"/>
      <c r="C10" s="20"/>
      <c r="D10" s="22">
        <f>SUM(D7:D9)</f>
        <v>398199638</v>
      </c>
      <c r="E10" s="20"/>
      <c r="F10" s="22">
        <f>SUM(F7:F9)</f>
        <v>116675994360</v>
      </c>
      <c r="G10" s="20"/>
      <c r="H10" s="54">
        <f>SUM(H7:H9)</f>
        <v>-114337560244</v>
      </c>
      <c r="I10" s="20"/>
      <c r="J10" s="35">
        <f>SUM(J7:J9)</f>
        <v>2736633754</v>
      </c>
      <c r="K10" s="20"/>
      <c r="L10" s="23">
        <f>SUM(L7:L9)</f>
        <v>0</v>
      </c>
    </row>
  </sheetData>
  <mergeCells count="11">
    <mergeCell ref="A1:L1"/>
    <mergeCell ref="A2:L2"/>
    <mergeCell ref="A3:L3"/>
    <mergeCell ref="B4:L4"/>
    <mergeCell ref="F5:H5"/>
    <mergeCell ref="J5:L5"/>
    <mergeCell ref="A6:B6"/>
    <mergeCell ref="A7:B7"/>
    <mergeCell ref="A8:B8"/>
    <mergeCell ref="A9:B9"/>
    <mergeCell ref="A10:B10"/>
  </mergeCells>
  <pageMargins left="0.39" right="0.39" top="0.39" bottom="0.39" header="0" footer="0"/>
  <pageSetup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N15"/>
  <sheetViews>
    <sheetView rightToLeft="1" view="pageBreakPreview" zoomScaleNormal="100" zoomScaleSheetLayoutView="100" workbookViewId="0">
      <selection activeCell="L1" sqref="L1"/>
    </sheetView>
  </sheetViews>
  <sheetFormatPr defaultRowHeight="30" customHeight="1"/>
  <cols>
    <col min="1" max="1" width="2.5703125" style="7" customWidth="1"/>
    <col min="2" max="2" width="49.5703125" style="7" customWidth="1"/>
    <col min="3" max="3" width="1.28515625" style="7" customWidth="1"/>
    <col min="4" max="4" width="11.7109375" style="7" customWidth="1"/>
    <col min="5" max="5" width="1.28515625" style="7" customWidth="1"/>
    <col min="6" max="6" width="22" style="7" customWidth="1"/>
    <col min="7" max="7" width="1.28515625" style="7" customWidth="1"/>
    <col min="8" max="8" width="12.42578125" style="41" customWidth="1"/>
    <col min="9" max="9" width="1.28515625" style="7" customWidth="1"/>
    <col min="10" max="10" width="14.28515625" style="7" customWidth="1"/>
    <col min="11" max="11" width="0.28515625" style="17" customWidth="1"/>
    <col min="12" max="12" width="19.85546875" style="30" bestFit="1" customWidth="1"/>
    <col min="13" max="13" width="9.140625" style="45"/>
    <col min="14" max="16384" width="9.140625" style="17"/>
  </cols>
  <sheetData>
    <row r="1" spans="1:14" ht="30" customHeight="1">
      <c r="A1" s="111" t="s">
        <v>109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4" ht="30" customHeight="1">
      <c r="A2" s="111" t="s">
        <v>54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4" ht="30" customHeight="1">
      <c r="A3" s="111" t="s">
        <v>155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4" s="25" customFormat="1" ht="30" customHeight="1">
      <c r="A4" s="16" t="s">
        <v>55</v>
      </c>
      <c r="B4" s="122" t="s">
        <v>56</v>
      </c>
      <c r="C4" s="122"/>
      <c r="D4" s="122"/>
      <c r="E4" s="122"/>
      <c r="F4" s="122"/>
      <c r="G4" s="122"/>
      <c r="H4" s="122"/>
      <c r="I4" s="122"/>
      <c r="J4" s="122"/>
      <c r="L4" s="48"/>
      <c r="M4" s="46"/>
    </row>
    <row r="5" spans="1:14" ht="42" customHeight="1">
      <c r="A5" s="113" t="s">
        <v>57</v>
      </c>
      <c r="B5" s="113"/>
      <c r="D5" s="1" t="s">
        <v>58</v>
      </c>
      <c r="F5" s="1" t="s">
        <v>48</v>
      </c>
      <c r="H5" s="39" t="s">
        <v>59</v>
      </c>
      <c r="I5" s="19"/>
      <c r="J5" s="50" t="s">
        <v>60</v>
      </c>
    </row>
    <row r="6" spans="1:14" ht="30" customHeight="1">
      <c r="A6" s="112" t="s">
        <v>61</v>
      </c>
      <c r="B6" s="112"/>
      <c r="D6" s="8" t="s">
        <v>62</v>
      </c>
      <c r="F6" s="64">
        <f>'درآمد سرمایه گذاری در سهام'!I62</f>
        <v>-478455869879</v>
      </c>
      <c r="H6" s="40"/>
      <c r="J6" s="40"/>
    </row>
    <row r="7" spans="1:14" ht="30" customHeight="1">
      <c r="A7" s="109" t="s">
        <v>63</v>
      </c>
      <c r="B7" s="109"/>
      <c r="D7" s="7" t="s">
        <v>64</v>
      </c>
      <c r="F7" s="11">
        <v>0</v>
      </c>
      <c r="J7" s="47"/>
    </row>
    <row r="8" spans="1:14" ht="30" customHeight="1">
      <c r="A8" s="109" t="s">
        <v>65</v>
      </c>
      <c r="B8" s="109"/>
      <c r="D8" s="7" t="s">
        <v>66</v>
      </c>
      <c r="F8" s="11">
        <v>0</v>
      </c>
      <c r="J8" s="47"/>
    </row>
    <row r="9" spans="1:14" ht="30" customHeight="1">
      <c r="A9" s="109" t="s">
        <v>67</v>
      </c>
      <c r="B9" s="109"/>
      <c r="D9" s="7" t="s">
        <v>68</v>
      </c>
      <c r="F9" s="11">
        <f>'درآمد سپرده بانکی'!D10</f>
        <v>97806</v>
      </c>
      <c r="J9" s="47"/>
    </row>
    <row r="10" spans="1:14" ht="30" customHeight="1">
      <c r="A10" s="109" t="s">
        <v>69</v>
      </c>
      <c r="B10" s="109"/>
      <c r="D10" s="7" t="s">
        <v>70</v>
      </c>
      <c r="F10" s="11">
        <f>'سایر درآمدها'!D11</f>
        <v>52676302</v>
      </c>
      <c r="H10" s="42"/>
      <c r="J10" s="42"/>
    </row>
    <row r="11" spans="1:14" ht="30" customHeight="1" thickBot="1">
      <c r="A11" s="111" t="s">
        <v>43</v>
      </c>
      <c r="B11" s="111"/>
      <c r="D11" s="11"/>
      <c r="F11" s="38">
        <f>SUM(F6:F9)</f>
        <v>-478455772073</v>
      </c>
      <c r="G11" s="20"/>
      <c r="H11" s="44">
        <f>SUM(H6:H10)</f>
        <v>0</v>
      </c>
      <c r="I11" s="20"/>
      <c r="J11" s="43">
        <f>SUM(J6:J10)</f>
        <v>0</v>
      </c>
      <c r="N11" s="55"/>
    </row>
    <row r="12" spans="1:14" ht="30" customHeight="1" thickTop="1"/>
    <row r="14" spans="1:14" ht="30" customHeight="1">
      <c r="F14" s="11"/>
      <c r="H14" s="125"/>
      <c r="I14" s="125"/>
      <c r="J14" s="125"/>
    </row>
    <row r="15" spans="1:14" ht="30" customHeight="1">
      <c r="D15" s="11"/>
    </row>
  </sheetData>
  <mergeCells count="12">
    <mergeCell ref="H14:J14"/>
    <mergeCell ref="A1:J1"/>
    <mergeCell ref="A2:J2"/>
    <mergeCell ref="A3:J3"/>
    <mergeCell ref="B4:J4"/>
    <mergeCell ref="A5:B5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AK69"/>
  <sheetViews>
    <sheetView rightToLeft="1" view="pageBreakPreview" zoomScale="80" zoomScaleNormal="100" zoomScaleSheetLayoutView="80" workbookViewId="0">
      <selection activeCell="Y1" sqref="Y1:AI1"/>
    </sheetView>
  </sheetViews>
  <sheetFormatPr defaultRowHeight="30" customHeight="1"/>
  <cols>
    <col min="1" max="1" width="27.28515625" style="28" bestFit="1" customWidth="1"/>
    <col min="2" max="2" width="1.28515625" style="17" customWidth="1"/>
    <col min="3" max="3" width="20.140625" style="17" bestFit="1" customWidth="1"/>
    <col min="4" max="4" width="1.28515625" style="17" customWidth="1"/>
    <col min="5" max="5" width="18.85546875" style="17" customWidth="1"/>
    <col min="6" max="6" width="1.28515625" style="17" customWidth="1"/>
    <col min="7" max="7" width="21" style="85" customWidth="1"/>
    <col min="8" max="8" width="1.28515625" style="17" customWidth="1"/>
    <col min="9" max="9" width="20.140625" style="85" customWidth="1"/>
    <col min="10" max="10" width="1.28515625" style="17" customWidth="1"/>
    <col min="11" max="11" width="17.28515625" style="17" bestFit="1" customWidth="1"/>
    <col min="12" max="12" width="1.28515625" style="17" customWidth="1"/>
    <col min="13" max="13" width="18.5703125" style="17" customWidth="1"/>
    <col min="14" max="16" width="1.28515625" style="17" customWidth="1"/>
    <col min="17" max="17" width="19" style="17" customWidth="1"/>
    <col min="18" max="18" width="0.5703125" style="17" customWidth="1"/>
    <col min="19" max="19" width="20.140625" style="85" customWidth="1"/>
    <col min="20" max="20" width="0.5703125" style="17" customWidth="1"/>
    <col min="21" max="21" width="19.5703125" style="105" customWidth="1"/>
    <col min="22" max="22" width="1.28515625" style="17" customWidth="1"/>
    <col min="23" max="23" width="17.28515625" style="17" bestFit="1" customWidth="1"/>
    <col min="24" max="24" width="0.28515625" customWidth="1"/>
    <col min="25" max="25" width="27.28515625" style="7" bestFit="1" customWidth="1"/>
    <col min="26" max="27" width="1.28515625" style="7" customWidth="1"/>
    <col min="28" max="28" width="19.42578125" style="52" customWidth="1"/>
    <col min="29" max="29" width="1.28515625" style="7" customWidth="1"/>
    <col min="30" max="30" width="13.85546875" style="7" customWidth="1"/>
    <col min="31" max="31" width="1.28515625" style="7" customWidth="1"/>
    <col min="32" max="32" width="19.42578125" style="7" customWidth="1"/>
    <col min="33" max="33" width="1.28515625" style="7" customWidth="1"/>
    <col min="34" max="34" width="20.5703125" style="7" customWidth="1"/>
    <col min="35" max="35" width="19.85546875" style="52" customWidth="1"/>
    <col min="36" max="36" width="24" bestFit="1" customWidth="1"/>
  </cols>
  <sheetData>
    <row r="1" spans="1:35" ht="30" customHeight="1">
      <c r="A1" s="128" t="s">
        <v>109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</row>
    <row r="2" spans="1:35" ht="30" customHeight="1">
      <c r="A2" s="128" t="s">
        <v>112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</row>
    <row r="3" spans="1:35" ht="30" customHeight="1">
      <c r="A3" s="128" t="s">
        <v>155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</row>
    <row r="4" spans="1:35" ht="30" customHeight="1">
      <c r="A4" s="130" t="s">
        <v>122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</row>
    <row r="5" spans="1:35" ht="30" customHeight="1">
      <c r="B5" s="7"/>
      <c r="C5" s="115" t="s">
        <v>71</v>
      </c>
      <c r="D5" s="115"/>
      <c r="E5" s="115"/>
      <c r="F5" s="115"/>
      <c r="G5" s="115"/>
      <c r="H5" s="115"/>
      <c r="I5" s="115"/>
      <c r="J5" s="115"/>
      <c r="K5" s="115"/>
      <c r="L5" s="7"/>
      <c r="M5" s="115" t="s">
        <v>72</v>
      </c>
      <c r="N5" s="115"/>
      <c r="O5" s="115"/>
      <c r="P5" s="115"/>
      <c r="Q5" s="115"/>
      <c r="R5" s="115"/>
      <c r="S5" s="115"/>
      <c r="T5" s="115"/>
      <c r="U5" s="115"/>
      <c r="V5" s="115"/>
      <c r="W5" s="115"/>
      <c r="Y5" s="111"/>
      <c r="AA5" s="111"/>
      <c r="AB5" s="111"/>
      <c r="AD5" s="111"/>
      <c r="AE5" s="111"/>
      <c r="AF5" s="111"/>
      <c r="AG5" s="111"/>
      <c r="AH5" s="111"/>
      <c r="AI5" s="111"/>
    </row>
    <row r="6" spans="1:35" ht="30" customHeight="1">
      <c r="A6" s="111" t="s">
        <v>57</v>
      </c>
      <c r="B6" s="7"/>
      <c r="C6" s="114" t="s">
        <v>73</v>
      </c>
      <c r="D6" s="8"/>
      <c r="E6" s="114" t="s">
        <v>74</v>
      </c>
      <c r="F6" s="8"/>
      <c r="G6" s="131" t="s">
        <v>75</v>
      </c>
      <c r="H6" s="8"/>
      <c r="I6" s="117" t="s">
        <v>43</v>
      </c>
      <c r="J6" s="117"/>
      <c r="K6" s="117"/>
      <c r="L6" s="7"/>
      <c r="M6" s="114" t="s">
        <v>73</v>
      </c>
      <c r="N6" s="8"/>
      <c r="O6" s="114" t="s">
        <v>74</v>
      </c>
      <c r="P6" s="114"/>
      <c r="Q6" s="114"/>
      <c r="R6" s="8"/>
      <c r="S6" s="131" t="s">
        <v>75</v>
      </c>
      <c r="T6" s="8"/>
      <c r="U6" s="117" t="s">
        <v>43</v>
      </c>
      <c r="V6" s="117"/>
      <c r="W6" s="117"/>
      <c r="Y6" s="111"/>
      <c r="AB6" s="95"/>
      <c r="AD6" s="96"/>
      <c r="AF6" s="96"/>
      <c r="AH6" s="96"/>
      <c r="AI6" s="96"/>
    </row>
    <row r="7" spans="1:35" ht="30" customHeight="1">
      <c r="A7" s="115"/>
      <c r="B7" s="7"/>
      <c r="C7" s="115"/>
      <c r="D7" s="7"/>
      <c r="E7" s="115"/>
      <c r="F7" s="7"/>
      <c r="G7" s="132"/>
      <c r="H7" s="7"/>
      <c r="I7" s="57" t="s">
        <v>48</v>
      </c>
      <c r="J7" s="8"/>
      <c r="K7" s="97" t="s">
        <v>59</v>
      </c>
      <c r="L7" s="7"/>
      <c r="M7" s="115"/>
      <c r="N7" s="7"/>
      <c r="O7" s="115"/>
      <c r="P7" s="115"/>
      <c r="Q7" s="115"/>
      <c r="R7" s="7"/>
      <c r="S7" s="132"/>
      <c r="T7" s="7"/>
      <c r="U7" s="98" t="s">
        <v>48</v>
      </c>
      <c r="V7" s="8"/>
      <c r="W7" s="97" t="s">
        <v>59</v>
      </c>
      <c r="Y7" s="28"/>
      <c r="AD7" s="11"/>
      <c r="AF7" s="11"/>
      <c r="AH7" s="52"/>
    </row>
    <row r="8" spans="1:35" ht="30" customHeight="1">
      <c r="A8" s="78" t="s">
        <v>37</v>
      </c>
      <c r="B8" s="7"/>
      <c r="C8" s="11">
        <v>0</v>
      </c>
      <c r="D8" s="7"/>
      <c r="E8" s="56">
        <v>0</v>
      </c>
      <c r="F8" s="7"/>
      <c r="G8" s="56">
        <v>0</v>
      </c>
      <c r="H8" s="7"/>
      <c r="I8" s="99">
        <f>C8+E8+G8</f>
        <v>0</v>
      </c>
      <c r="J8" s="7"/>
      <c r="K8" s="10"/>
      <c r="L8" s="7"/>
      <c r="M8" s="9">
        <f>VLOOKUP(A8,'درآمد سود سهام'!$A$7:$O$29,15,0)</f>
        <v>1220597080</v>
      </c>
      <c r="N8" s="7"/>
      <c r="O8" s="129">
        <v>0</v>
      </c>
      <c r="P8" s="129"/>
      <c r="Q8" s="129"/>
      <c r="R8" s="7"/>
      <c r="S8" s="99">
        <f>VLOOKUP(A8,'درآمد ناشی از فروش'!$A$7:$Q$53,17,0)</f>
        <v>-7834248505</v>
      </c>
      <c r="T8" s="7"/>
      <c r="U8" s="58">
        <f>M8+O8+S8</f>
        <v>-6613651425</v>
      </c>
      <c r="V8" s="7"/>
      <c r="W8" s="10"/>
      <c r="Y8" s="28"/>
      <c r="AD8" s="11"/>
      <c r="AF8" s="11"/>
      <c r="AH8" s="52"/>
    </row>
    <row r="9" spans="1:35" ht="30" customHeight="1">
      <c r="A9" s="28" t="s">
        <v>119</v>
      </c>
      <c r="B9" s="7"/>
      <c r="C9" s="11">
        <v>0</v>
      </c>
      <c r="D9" s="7"/>
      <c r="E9" s="56">
        <v>0</v>
      </c>
      <c r="F9" s="7"/>
      <c r="G9" s="56">
        <v>0</v>
      </c>
      <c r="H9" s="7"/>
      <c r="I9" s="56">
        <f t="shared" ref="I9:I59" si="0">C9+E9+G9</f>
        <v>0</v>
      </c>
      <c r="J9" s="7"/>
      <c r="K9" s="12"/>
      <c r="L9" s="7"/>
      <c r="M9" s="11">
        <v>0</v>
      </c>
      <c r="N9" s="7"/>
      <c r="O9" s="127">
        <v>0</v>
      </c>
      <c r="P9" s="127"/>
      <c r="Q9" s="127"/>
      <c r="R9" s="7"/>
      <c r="S9" s="56">
        <f>VLOOKUP(A9,'درآمد ناشی از فروش'!$A$7:$Q$53,17,0)</f>
        <v>4199139439</v>
      </c>
      <c r="T9" s="7"/>
      <c r="U9" s="58">
        <f t="shared" ref="U9:U59" si="1">M9+O9+S9</f>
        <v>4199139439</v>
      </c>
      <c r="V9" s="7"/>
      <c r="W9" s="12"/>
      <c r="Y9" s="28"/>
      <c r="AD9" s="11"/>
      <c r="AF9" s="11"/>
      <c r="AH9" s="52"/>
    </row>
    <row r="10" spans="1:35" ht="30" customHeight="1">
      <c r="A10" s="28" t="s">
        <v>17</v>
      </c>
      <c r="B10" s="7"/>
      <c r="C10" s="11">
        <v>0</v>
      </c>
      <c r="D10" s="7"/>
      <c r="E10" s="56">
        <v>0</v>
      </c>
      <c r="F10" s="7"/>
      <c r="G10" s="56">
        <v>0</v>
      </c>
      <c r="H10" s="7"/>
      <c r="I10" s="56">
        <f t="shared" si="0"/>
        <v>0</v>
      </c>
      <c r="J10" s="7"/>
      <c r="K10" s="12"/>
      <c r="L10" s="7"/>
      <c r="M10" s="11">
        <f>VLOOKUP(A10,'درآمد سود سهام'!$A$7:$O$29,15,0)</f>
        <v>3260399571</v>
      </c>
      <c r="N10" s="7"/>
      <c r="O10" s="127">
        <v>0</v>
      </c>
      <c r="P10" s="127"/>
      <c r="Q10" s="127"/>
      <c r="R10" s="7"/>
      <c r="S10" s="56">
        <f>VLOOKUP(A10,'درآمد ناشی از فروش'!$A$7:$Q$53,17,0)</f>
        <v>-13418268573</v>
      </c>
      <c r="T10" s="7"/>
      <c r="U10" s="58">
        <f t="shared" si="1"/>
        <v>-10157869002</v>
      </c>
      <c r="V10" s="7"/>
      <c r="W10" s="12"/>
      <c r="Y10" s="28"/>
      <c r="AD10" s="11"/>
      <c r="AF10" s="11"/>
      <c r="AH10" s="52"/>
    </row>
    <row r="11" spans="1:35" ht="30" customHeight="1">
      <c r="A11" s="28" t="s">
        <v>129</v>
      </c>
      <c r="B11" s="7"/>
      <c r="C11" s="11">
        <v>0</v>
      </c>
      <c r="D11" s="7"/>
      <c r="E11" s="56">
        <v>0</v>
      </c>
      <c r="F11" s="7"/>
      <c r="G11" s="56">
        <v>0</v>
      </c>
      <c r="H11" s="7"/>
      <c r="I11" s="56">
        <f t="shared" si="0"/>
        <v>0</v>
      </c>
      <c r="J11" s="7"/>
      <c r="K11" s="12"/>
      <c r="L11" s="7"/>
      <c r="M11" s="11">
        <v>0</v>
      </c>
      <c r="N11" s="7"/>
      <c r="O11" s="127">
        <v>0</v>
      </c>
      <c r="P11" s="127"/>
      <c r="Q11" s="127"/>
      <c r="R11" s="7"/>
      <c r="S11" s="56">
        <f>VLOOKUP(A11,'درآمد ناشی از فروش'!$A$7:$Q$53,17,0)</f>
        <v>4432742421</v>
      </c>
      <c r="T11" s="7"/>
      <c r="U11" s="58">
        <f t="shared" si="1"/>
        <v>4432742421</v>
      </c>
      <c r="V11" s="7"/>
      <c r="W11" s="12"/>
      <c r="Y11" s="28"/>
      <c r="AD11" s="11"/>
      <c r="AF11" s="11"/>
      <c r="AH11" s="52"/>
    </row>
    <row r="12" spans="1:35" ht="30" customHeight="1">
      <c r="A12" s="28" t="s">
        <v>126</v>
      </c>
      <c r="B12" s="7"/>
      <c r="C12" s="11">
        <v>0</v>
      </c>
      <c r="D12" s="7"/>
      <c r="E12" s="56">
        <v>0</v>
      </c>
      <c r="F12" s="7"/>
      <c r="G12" s="56">
        <v>0</v>
      </c>
      <c r="H12" s="7"/>
      <c r="I12" s="56">
        <f t="shared" si="0"/>
        <v>0</v>
      </c>
      <c r="J12" s="7"/>
      <c r="K12" s="12"/>
      <c r="L12" s="7"/>
      <c r="M12" s="11">
        <v>0</v>
      </c>
      <c r="N12" s="7"/>
      <c r="O12" s="127">
        <v>0</v>
      </c>
      <c r="P12" s="127"/>
      <c r="Q12" s="127"/>
      <c r="R12" s="7"/>
      <c r="S12" s="56">
        <f>VLOOKUP(A12,'درآمد ناشی از فروش'!$A$7:$Q$53,17,0)</f>
        <v>3139798099</v>
      </c>
      <c r="T12" s="7"/>
      <c r="U12" s="58">
        <f t="shared" si="1"/>
        <v>3139798099</v>
      </c>
      <c r="V12" s="7"/>
      <c r="W12" s="12"/>
      <c r="Y12" s="28"/>
      <c r="AD12" s="11"/>
      <c r="AF12" s="11"/>
      <c r="AH12" s="52"/>
    </row>
    <row r="13" spans="1:35" ht="30" customHeight="1">
      <c r="A13" s="28" t="s">
        <v>135</v>
      </c>
      <c r="B13" s="7"/>
      <c r="C13" s="11">
        <v>0</v>
      </c>
      <c r="D13" s="7"/>
      <c r="E13" s="56">
        <f>VLOOKUP(A13,'درآمد ناشی از تغییر قیمت اوراق'!$A$7:$I$46,9,0)</f>
        <v>-46517075576</v>
      </c>
      <c r="F13" s="7"/>
      <c r="G13" s="56">
        <f>VLOOKUP(A13,'درآمد ناشی از فروش'!$A$7:$Q$54,9,0)</f>
        <v>242844640</v>
      </c>
      <c r="H13" s="7"/>
      <c r="I13" s="56">
        <f>C13+E13+G13</f>
        <v>-46274230936</v>
      </c>
      <c r="J13" s="7"/>
      <c r="K13" s="12"/>
      <c r="L13" s="7"/>
      <c r="M13" s="11">
        <f>VLOOKUP(A13,'درآمد سود سهام'!$A$7:$O$29,15,0)</f>
        <v>21758072040</v>
      </c>
      <c r="N13" s="7"/>
      <c r="O13" s="127">
        <f>VLOOKUP(A13,'درآمد ناشی از تغییر قیمت اوراق'!$A$7:$Q$41,17,0)</f>
        <v>-19182795896</v>
      </c>
      <c r="P13" s="127"/>
      <c r="Q13" s="127"/>
      <c r="R13" s="7"/>
      <c r="S13" s="56">
        <f>VLOOKUP(A13,'درآمد ناشی از فروش'!$A$7:$Q$53,17,0)</f>
        <v>-5647818986</v>
      </c>
      <c r="T13" s="7"/>
      <c r="U13" s="58">
        <f t="shared" si="1"/>
        <v>-3072542842</v>
      </c>
      <c r="V13" s="7"/>
      <c r="W13" s="12"/>
      <c r="AD13" s="11"/>
      <c r="AF13" s="11"/>
      <c r="AH13" s="52"/>
    </row>
    <row r="14" spans="1:35" ht="30" customHeight="1">
      <c r="A14" s="28" t="s">
        <v>130</v>
      </c>
      <c r="B14" s="7"/>
      <c r="C14" s="11">
        <v>0</v>
      </c>
      <c r="D14" s="7"/>
      <c r="E14" s="56">
        <v>0</v>
      </c>
      <c r="F14" s="7"/>
      <c r="G14" s="56">
        <v>0</v>
      </c>
      <c r="H14" s="7"/>
      <c r="I14" s="56">
        <f>C14+E14+G14</f>
        <v>0</v>
      </c>
      <c r="J14" s="7"/>
      <c r="K14" s="12"/>
      <c r="L14" s="7"/>
      <c r="M14" s="11">
        <v>0</v>
      </c>
      <c r="N14" s="7"/>
      <c r="O14" s="127">
        <v>0</v>
      </c>
      <c r="P14" s="127"/>
      <c r="Q14" s="127"/>
      <c r="R14" s="7"/>
      <c r="S14" s="56">
        <f>VLOOKUP(A14,'درآمد ناشی از فروش'!$A$7:$Q$53,17,0)</f>
        <v>28789960</v>
      </c>
      <c r="T14" s="7"/>
      <c r="U14" s="58">
        <f t="shared" si="1"/>
        <v>28789960</v>
      </c>
      <c r="V14" s="7"/>
      <c r="W14" s="12"/>
      <c r="AD14" s="11"/>
      <c r="AF14" s="11"/>
      <c r="AH14" s="52"/>
    </row>
    <row r="15" spans="1:35" ht="30" customHeight="1">
      <c r="A15" s="28" t="s">
        <v>120</v>
      </c>
      <c r="B15" s="7"/>
      <c r="C15" s="11">
        <v>0</v>
      </c>
      <c r="D15" s="7"/>
      <c r="E15" s="56">
        <f>VLOOKUP(A15,'درآمد ناشی از تغییر قیمت اوراق'!$A$7:$I$46,9,0)</f>
        <v>-21062419155</v>
      </c>
      <c r="F15" s="7"/>
      <c r="G15" s="56">
        <v>0</v>
      </c>
      <c r="H15" s="7"/>
      <c r="I15" s="56">
        <f t="shared" si="0"/>
        <v>-21062419155</v>
      </c>
      <c r="J15" s="7"/>
      <c r="K15" s="12"/>
      <c r="L15" s="7"/>
      <c r="M15" s="11">
        <f>VLOOKUP(A15,'درآمد سود سهام'!$A$7:$O$29,15,0)</f>
        <v>7153912000</v>
      </c>
      <c r="N15" s="7"/>
      <c r="O15" s="127">
        <f>VLOOKUP(A15,'درآمد ناشی از تغییر قیمت اوراق'!$A$7:$Q$41,17,0)</f>
        <v>13364093091</v>
      </c>
      <c r="P15" s="127"/>
      <c r="Q15" s="127"/>
      <c r="R15" s="7"/>
      <c r="S15" s="56">
        <f>VLOOKUP(A15,'درآمد ناشی از فروش'!$A$7:$Q$53,17,0)</f>
        <v>-1328155628</v>
      </c>
      <c r="T15" s="7"/>
      <c r="U15" s="58">
        <f t="shared" si="1"/>
        <v>19189849463</v>
      </c>
      <c r="V15" s="7"/>
      <c r="W15" s="12"/>
      <c r="Y15" s="28"/>
      <c r="AD15" s="11"/>
      <c r="AF15" s="11"/>
      <c r="AH15" s="52"/>
    </row>
    <row r="16" spans="1:35" ht="30" customHeight="1">
      <c r="A16" s="28" t="s">
        <v>42</v>
      </c>
      <c r="B16" s="7"/>
      <c r="C16" s="11">
        <v>0</v>
      </c>
      <c r="D16" s="7"/>
      <c r="E16" s="56">
        <v>0</v>
      </c>
      <c r="F16" s="7"/>
      <c r="G16" s="56">
        <v>0</v>
      </c>
      <c r="H16" s="7"/>
      <c r="I16" s="56">
        <f t="shared" si="0"/>
        <v>0</v>
      </c>
      <c r="J16" s="7"/>
      <c r="K16" s="12"/>
      <c r="L16" s="7"/>
      <c r="M16" s="11">
        <f>VLOOKUP(A16,'درآمد سود سهام'!$A$7:$O$29,15,0)</f>
        <v>78670950</v>
      </c>
      <c r="N16" s="7"/>
      <c r="O16" s="127">
        <v>0</v>
      </c>
      <c r="P16" s="127"/>
      <c r="Q16" s="127"/>
      <c r="R16" s="7"/>
      <c r="S16" s="56">
        <f>VLOOKUP(A16,'درآمد ناشی از فروش'!$A$7:$Q$53,17,0)</f>
        <v>-1070857761</v>
      </c>
      <c r="T16" s="7"/>
      <c r="U16" s="58">
        <f t="shared" si="1"/>
        <v>-992186811</v>
      </c>
      <c r="V16" s="7"/>
      <c r="W16" s="12"/>
      <c r="Y16" s="28"/>
      <c r="AD16" s="11"/>
      <c r="AF16" s="11"/>
      <c r="AH16" s="52"/>
    </row>
    <row r="17" spans="1:37" ht="30" customHeight="1">
      <c r="A17" s="28" t="s">
        <v>39</v>
      </c>
      <c r="B17" s="7"/>
      <c r="C17" s="11">
        <v>0</v>
      </c>
      <c r="D17" s="7"/>
      <c r="E17" s="56">
        <v>0</v>
      </c>
      <c r="F17" s="7"/>
      <c r="G17" s="56">
        <v>0</v>
      </c>
      <c r="H17" s="7"/>
      <c r="I17" s="56">
        <f t="shared" si="0"/>
        <v>0</v>
      </c>
      <c r="J17" s="7"/>
      <c r="K17" s="12"/>
      <c r="L17" s="7"/>
      <c r="M17" s="11">
        <f>VLOOKUP(A17,'درآمد سود سهام'!$A$7:$O$29,15,0)</f>
        <v>3040000000</v>
      </c>
      <c r="N17" s="7"/>
      <c r="O17" s="127">
        <v>0</v>
      </c>
      <c r="P17" s="127"/>
      <c r="Q17" s="127"/>
      <c r="R17" s="7"/>
      <c r="S17" s="56">
        <f>VLOOKUP(A17,'درآمد ناشی از فروش'!$A$7:$Q$53,17,0)</f>
        <v>1997776489</v>
      </c>
      <c r="T17" s="7"/>
      <c r="U17" s="58">
        <f t="shared" si="1"/>
        <v>5037776489</v>
      </c>
      <c r="V17" s="7"/>
      <c r="W17" s="12"/>
      <c r="Y17" s="28"/>
      <c r="AD17" s="11"/>
      <c r="AF17" s="11"/>
      <c r="AH17" s="52"/>
    </row>
    <row r="18" spans="1:37" ht="30" customHeight="1">
      <c r="A18" s="28" t="s">
        <v>136</v>
      </c>
      <c r="B18" s="7"/>
      <c r="C18" s="11">
        <v>0</v>
      </c>
      <c r="D18" s="7"/>
      <c r="E18" s="56">
        <v>0</v>
      </c>
      <c r="F18" s="7"/>
      <c r="G18" s="56">
        <v>0</v>
      </c>
      <c r="H18" s="7"/>
      <c r="I18" s="56">
        <f t="shared" si="0"/>
        <v>0</v>
      </c>
      <c r="J18" s="7"/>
      <c r="K18" s="12"/>
      <c r="L18" s="7"/>
      <c r="M18" s="11">
        <v>0</v>
      </c>
      <c r="N18" s="7"/>
      <c r="O18" s="127">
        <v>0</v>
      </c>
      <c r="P18" s="127"/>
      <c r="Q18" s="127"/>
      <c r="R18" s="7"/>
      <c r="S18" s="56">
        <f>VLOOKUP(A18,'درآمد ناشی از فروش'!$A$7:$Q$53,17,0)</f>
        <v>2137863332</v>
      </c>
      <c r="T18" s="7"/>
      <c r="U18" s="58">
        <f t="shared" si="1"/>
        <v>2137863332</v>
      </c>
      <c r="V18" s="7"/>
      <c r="W18" s="12"/>
      <c r="Y18" s="28"/>
      <c r="AD18" s="11"/>
      <c r="AF18" s="11"/>
      <c r="AH18" s="52"/>
    </row>
    <row r="19" spans="1:37" ht="30" customHeight="1">
      <c r="A19" s="28" t="s">
        <v>35</v>
      </c>
      <c r="B19" s="7"/>
      <c r="C19" s="11">
        <v>0</v>
      </c>
      <c r="D19" s="7"/>
      <c r="E19" s="56">
        <v>0</v>
      </c>
      <c r="F19" s="7"/>
      <c r="G19" s="56">
        <v>0</v>
      </c>
      <c r="H19" s="7"/>
      <c r="I19" s="56">
        <f t="shared" si="0"/>
        <v>0</v>
      </c>
      <c r="J19" s="7"/>
      <c r="K19" s="12"/>
      <c r="L19" s="7"/>
      <c r="M19" s="11">
        <v>0</v>
      </c>
      <c r="N19" s="7"/>
      <c r="O19" s="127">
        <v>0</v>
      </c>
      <c r="P19" s="127"/>
      <c r="Q19" s="127"/>
      <c r="R19" s="7"/>
      <c r="S19" s="56">
        <f>VLOOKUP(A19,'درآمد ناشی از فروش'!$A$7:$Q$53,17,0)</f>
        <v>493477638</v>
      </c>
      <c r="T19" s="7"/>
      <c r="U19" s="58">
        <f t="shared" si="1"/>
        <v>493477638</v>
      </c>
      <c r="V19" s="7"/>
      <c r="W19" s="12"/>
      <c r="Y19" s="28"/>
      <c r="AD19" s="11"/>
      <c r="AF19" s="11"/>
      <c r="AH19" s="52"/>
    </row>
    <row r="20" spans="1:37" ht="30" customHeight="1">
      <c r="A20" s="28" t="s">
        <v>31</v>
      </c>
      <c r="B20" s="7"/>
      <c r="C20" s="11">
        <v>0</v>
      </c>
      <c r="D20" s="7"/>
      <c r="E20" s="56">
        <f>VLOOKUP(A20,'درآمد ناشی از تغییر قیمت اوراق'!$A$7:$I$46,9,0)</f>
        <v>27813068260</v>
      </c>
      <c r="F20" s="7"/>
      <c r="G20" s="56">
        <f>VLOOKUP(A20,'درآمد ناشی از فروش'!$A$7:$Q$54,9,0)</f>
        <v>860081135</v>
      </c>
      <c r="H20" s="7"/>
      <c r="I20" s="56">
        <f t="shared" si="0"/>
        <v>28673149395</v>
      </c>
      <c r="J20" s="7"/>
      <c r="K20" s="12"/>
      <c r="L20" s="7"/>
      <c r="M20" s="11">
        <f>VLOOKUP(A20,'درآمد سود سهام'!$A$7:$O$29,15,0)</f>
        <v>1572260500</v>
      </c>
      <c r="N20" s="7"/>
      <c r="O20" s="127">
        <f>VLOOKUP(A20,'درآمد ناشی از تغییر قیمت اوراق'!$A$7:$Q$41,17,0)</f>
        <v>76154175738</v>
      </c>
      <c r="P20" s="127"/>
      <c r="Q20" s="127"/>
      <c r="R20" s="7"/>
      <c r="S20" s="56">
        <f>VLOOKUP(A20,'درآمد ناشی از فروش'!$A$7:$Q$53,17,0)</f>
        <v>13458851054</v>
      </c>
      <c r="T20" s="7"/>
      <c r="U20" s="58">
        <f t="shared" si="1"/>
        <v>91185287292</v>
      </c>
      <c r="V20" s="7"/>
      <c r="W20" s="12"/>
      <c r="AD20" s="11"/>
      <c r="AF20" s="11"/>
      <c r="AH20" s="52"/>
    </row>
    <row r="21" spans="1:37" ht="30" customHeight="1">
      <c r="A21" s="28" t="s">
        <v>18</v>
      </c>
      <c r="B21" s="7"/>
      <c r="C21" s="11">
        <v>0</v>
      </c>
      <c r="D21" s="7"/>
      <c r="E21" s="56">
        <f>VLOOKUP(A21,'درآمد ناشی از تغییر قیمت اوراق'!$A$7:$I$46,9,0)</f>
        <v>-19997132332</v>
      </c>
      <c r="F21" s="7"/>
      <c r="G21" s="56">
        <v>0</v>
      </c>
      <c r="H21" s="7"/>
      <c r="I21" s="56">
        <f t="shared" si="0"/>
        <v>-19997132332</v>
      </c>
      <c r="J21" s="7"/>
      <c r="K21" s="12"/>
      <c r="L21" s="7"/>
      <c r="M21" s="11">
        <f>VLOOKUP(A21,'درآمد سود سهام'!$A$7:$O$29,15,0)</f>
        <v>3569177560</v>
      </c>
      <c r="N21" s="7"/>
      <c r="O21" s="127">
        <f>VLOOKUP(A21,'درآمد ناشی از تغییر قیمت اوراق'!$A$7:$Q$41,17,0)</f>
        <v>-6447075105</v>
      </c>
      <c r="P21" s="127"/>
      <c r="Q21" s="127"/>
      <c r="R21" s="7"/>
      <c r="S21" s="56">
        <f>VLOOKUP(A21,'درآمد ناشی از فروش'!$A$7:$Q$53,17,0)</f>
        <v>3164475791</v>
      </c>
      <c r="T21" s="7"/>
      <c r="U21" s="58">
        <f t="shared" si="1"/>
        <v>286578246</v>
      </c>
      <c r="V21" s="7"/>
      <c r="W21" s="12"/>
      <c r="AD21" s="11"/>
      <c r="AF21" s="11"/>
      <c r="AH21" s="52"/>
    </row>
    <row r="22" spans="1:37" ht="30" customHeight="1">
      <c r="A22" s="28" t="s">
        <v>32</v>
      </c>
      <c r="B22" s="7"/>
      <c r="C22" s="11">
        <v>0</v>
      </c>
      <c r="D22" s="7"/>
      <c r="E22" s="56">
        <f>VLOOKUP(A22,'درآمد ناشی از تغییر قیمت اوراق'!$A$7:$I$46,9,0)</f>
        <v>-104903638209</v>
      </c>
      <c r="F22" s="7"/>
      <c r="G22" s="56">
        <f>VLOOKUP(A22,'درآمد ناشی از فروش'!$A$7:$Q$54,9,0)</f>
        <v>889122806</v>
      </c>
      <c r="H22" s="7"/>
      <c r="I22" s="56">
        <f t="shared" si="0"/>
        <v>-104014515403</v>
      </c>
      <c r="J22" s="7"/>
      <c r="K22" s="12"/>
      <c r="L22" s="7"/>
      <c r="M22" s="11">
        <v>0</v>
      </c>
      <c r="N22" s="7"/>
      <c r="O22" s="127">
        <f>VLOOKUP(A22,'درآمد ناشی از تغییر قیمت اوراق'!$A$7:$Q$41,17,0)</f>
        <v>48818677359</v>
      </c>
      <c r="P22" s="127"/>
      <c r="Q22" s="127"/>
      <c r="R22" s="7"/>
      <c r="S22" s="56">
        <f>VLOOKUP(A22,'درآمد ناشی از فروش'!$A$7:$Q$53,17,0)</f>
        <v>461316932</v>
      </c>
      <c r="T22" s="7"/>
      <c r="U22" s="58">
        <f t="shared" si="1"/>
        <v>49279994291</v>
      </c>
      <c r="V22" s="7"/>
      <c r="W22" s="12"/>
      <c r="AD22" s="11"/>
      <c r="AF22" s="11"/>
      <c r="AH22" s="52"/>
    </row>
    <row r="23" spans="1:37" ht="30" customHeight="1">
      <c r="A23" s="28" t="s">
        <v>20</v>
      </c>
      <c r="B23" s="7"/>
      <c r="C23" s="11">
        <v>0</v>
      </c>
      <c r="D23" s="7"/>
      <c r="E23" s="56">
        <f>VLOOKUP(A23,'درآمد ناشی از تغییر قیمت اوراق'!$A$7:$I$46,9,0)</f>
        <v>-1815692041</v>
      </c>
      <c r="F23" s="7"/>
      <c r="G23" s="56">
        <v>0</v>
      </c>
      <c r="H23" s="7"/>
      <c r="I23" s="56">
        <f t="shared" si="0"/>
        <v>-1815692041</v>
      </c>
      <c r="J23" s="7"/>
      <c r="K23" s="12"/>
      <c r="L23" s="7"/>
      <c r="M23" s="11">
        <v>0</v>
      </c>
      <c r="N23" s="7"/>
      <c r="O23" s="127">
        <f>VLOOKUP(A23,'درآمد ناشی از تغییر قیمت اوراق'!$A$7:$Q$41,17,0)</f>
        <v>-3848572701</v>
      </c>
      <c r="P23" s="127"/>
      <c r="Q23" s="127"/>
      <c r="R23" s="7"/>
      <c r="S23" s="56">
        <f>VLOOKUP(A23,'درآمد ناشی از فروش'!$A$7:$Q$53,17,0)</f>
        <v>-6866484793</v>
      </c>
      <c r="T23" s="7"/>
      <c r="U23" s="58">
        <f t="shared" si="1"/>
        <v>-10715057494</v>
      </c>
      <c r="V23" s="7"/>
      <c r="W23" s="12"/>
      <c r="AD23" s="11"/>
      <c r="AF23" s="11"/>
      <c r="AH23" s="52"/>
    </row>
    <row r="24" spans="1:37" ht="30" customHeight="1">
      <c r="A24" s="28" t="s">
        <v>38</v>
      </c>
      <c r="B24" s="7"/>
      <c r="C24" s="11">
        <v>0</v>
      </c>
      <c r="D24" s="7"/>
      <c r="E24" s="56">
        <f>VLOOKUP(A24,'درآمد ناشی از تغییر قیمت اوراق'!$A$7:$I$46,9,0)</f>
        <v>-4686444520</v>
      </c>
      <c r="F24" s="100"/>
      <c r="G24" s="56">
        <f>VLOOKUP(A24,'درآمد ناشی از فروش'!$A$7:$Q$54,9,0)</f>
        <v>-59855206</v>
      </c>
      <c r="H24" s="7"/>
      <c r="I24" s="56">
        <f t="shared" si="0"/>
        <v>-4746299726</v>
      </c>
      <c r="J24" s="7"/>
      <c r="K24" s="12"/>
      <c r="L24" s="7"/>
      <c r="M24" s="11">
        <f>VLOOKUP(A24,'درآمد سود سهام'!$A$7:$O$29,15,0)</f>
        <v>19700000</v>
      </c>
      <c r="N24" s="7"/>
      <c r="O24" s="127">
        <f>VLOOKUP(A24,'درآمد ناشی از تغییر قیمت اوراق'!$A$7:$Q$41,17,0)</f>
        <v>-504962309</v>
      </c>
      <c r="P24" s="127"/>
      <c r="Q24" s="127"/>
      <c r="R24" s="7"/>
      <c r="S24" s="56">
        <f>VLOOKUP(A24,'درآمد ناشی از فروش'!$A$7:$Q$53,17,0)</f>
        <v>1552551815</v>
      </c>
      <c r="T24" s="7"/>
      <c r="U24" s="58">
        <f t="shared" si="1"/>
        <v>1067289506</v>
      </c>
      <c r="V24" s="7"/>
      <c r="W24" s="12"/>
      <c r="AD24" s="11"/>
      <c r="AF24" s="11"/>
      <c r="AH24" s="52"/>
    </row>
    <row r="25" spans="1:37" ht="30" customHeight="1">
      <c r="A25" s="28" t="s">
        <v>25</v>
      </c>
      <c r="B25" s="7"/>
      <c r="C25" s="11">
        <v>0</v>
      </c>
      <c r="D25" s="7"/>
      <c r="E25" s="56">
        <f>VLOOKUP(A25,'درآمد ناشی از تغییر قیمت اوراق'!$A$7:$I$46,9,0)</f>
        <v>-6033994278</v>
      </c>
      <c r="F25" s="7"/>
      <c r="G25" s="56">
        <f>VLOOKUP(A25,'درآمد ناشی از فروش'!$A$7:$Q$54,9,0)</f>
        <v>113134322</v>
      </c>
      <c r="H25" s="7"/>
      <c r="I25" s="56">
        <f t="shared" si="0"/>
        <v>-5920859956</v>
      </c>
      <c r="J25" s="7"/>
      <c r="K25" s="12"/>
      <c r="L25" s="7"/>
      <c r="M25" s="11">
        <v>0</v>
      </c>
      <c r="N25" s="7"/>
      <c r="O25" s="127">
        <f>VLOOKUP(A25,'درآمد ناشی از تغییر قیمت اوراق'!$A$7:$Q$41,17,0)</f>
        <v>987653963</v>
      </c>
      <c r="P25" s="127"/>
      <c r="Q25" s="127"/>
      <c r="R25" s="7"/>
      <c r="S25" s="56">
        <f>VLOOKUP(A25,'درآمد ناشی از فروش'!$A$7:$Q$53,17,0)</f>
        <v>7929606203</v>
      </c>
      <c r="T25" s="7"/>
      <c r="U25" s="58">
        <f t="shared" si="1"/>
        <v>8917260166</v>
      </c>
      <c r="V25" s="7"/>
      <c r="W25" s="12"/>
      <c r="AD25" s="11"/>
      <c r="AF25" s="11"/>
      <c r="AH25" s="52"/>
      <c r="AJ25" s="127"/>
      <c r="AK25" s="127"/>
    </row>
    <row r="26" spans="1:37" ht="30" customHeight="1">
      <c r="A26" s="28" t="s">
        <v>131</v>
      </c>
      <c r="B26" s="7"/>
      <c r="C26" s="11">
        <v>0</v>
      </c>
      <c r="D26" s="7"/>
      <c r="E26" s="56">
        <v>0</v>
      </c>
      <c r="F26" s="7"/>
      <c r="G26" s="56">
        <v>0</v>
      </c>
      <c r="H26" s="7"/>
      <c r="I26" s="56">
        <f t="shared" si="0"/>
        <v>0</v>
      </c>
      <c r="J26" s="7"/>
      <c r="K26" s="12"/>
      <c r="L26" s="7"/>
      <c r="M26" s="11">
        <v>0</v>
      </c>
      <c r="N26" s="7"/>
      <c r="O26" s="127">
        <v>0</v>
      </c>
      <c r="P26" s="127"/>
      <c r="Q26" s="127"/>
      <c r="R26" s="7"/>
      <c r="S26" s="56">
        <f>VLOOKUP(A26,'درآمد ناشی از فروش'!$A$7:$Q$53,17,0)</f>
        <v>-18364754667</v>
      </c>
      <c r="T26" s="7"/>
      <c r="U26" s="58">
        <f t="shared" si="1"/>
        <v>-18364754667</v>
      </c>
      <c r="V26" s="7"/>
      <c r="W26" s="12"/>
      <c r="AD26" s="11"/>
      <c r="AF26" s="11"/>
      <c r="AH26" s="52"/>
    </row>
    <row r="27" spans="1:37" ht="30" customHeight="1">
      <c r="A27" s="28" t="s">
        <v>34</v>
      </c>
      <c r="B27" s="7"/>
      <c r="C27" s="11">
        <v>0</v>
      </c>
      <c r="D27" s="7"/>
      <c r="E27" s="56">
        <f>VLOOKUP(A27,'درآمد ناشی از تغییر قیمت اوراق'!$A$7:$I$46,9,0)</f>
        <v>1041883500</v>
      </c>
      <c r="F27" s="7"/>
      <c r="G27" s="56">
        <v>0</v>
      </c>
      <c r="H27" s="7"/>
      <c r="I27" s="56">
        <f t="shared" si="0"/>
        <v>1041883500</v>
      </c>
      <c r="J27" s="7"/>
      <c r="K27" s="12"/>
      <c r="L27" s="7"/>
      <c r="M27" s="11">
        <f>VLOOKUP(A27,'درآمد سود سهام'!$A$7:$O$29,15,0)</f>
        <v>348000000</v>
      </c>
      <c r="N27" s="7"/>
      <c r="O27" s="127">
        <f>VLOOKUP(A27,'درآمد ناشی از تغییر قیمت اوراق'!$A$7:$Q$41,17,0)</f>
        <v>3632246420</v>
      </c>
      <c r="P27" s="127"/>
      <c r="Q27" s="127"/>
      <c r="R27" s="7"/>
      <c r="S27" s="56">
        <f>VLOOKUP(A27,'درآمد ناشی از فروش'!$A$7:$Q$53,17,0)</f>
        <v>-1522730661</v>
      </c>
      <c r="T27" s="7"/>
      <c r="U27" s="58">
        <f t="shared" si="1"/>
        <v>2457515759</v>
      </c>
      <c r="V27" s="7"/>
      <c r="W27" s="12"/>
      <c r="Y27" s="28"/>
      <c r="AD27" s="11"/>
      <c r="AF27" s="11"/>
      <c r="AH27" s="52"/>
    </row>
    <row r="28" spans="1:37" ht="30" customHeight="1">
      <c r="A28" s="28" t="s">
        <v>137</v>
      </c>
      <c r="B28" s="7"/>
      <c r="C28" s="11">
        <v>0</v>
      </c>
      <c r="D28" s="7"/>
      <c r="E28" s="56">
        <f>VLOOKUP(A28,'درآمد ناشی از تغییر قیمت اوراق'!$A$7:$I$46,9,0)</f>
        <v>-92259261510</v>
      </c>
      <c r="F28" s="7"/>
      <c r="G28" s="56">
        <v>0</v>
      </c>
      <c r="H28" s="7"/>
      <c r="I28" s="56">
        <f t="shared" si="0"/>
        <v>-92259261510</v>
      </c>
      <c r="J28" s="7"/>
      <c r="K28" s="12"/>
      <c r="L28" s="7"/>
      <c r="M28" s="11">
        <v>0</v>
      </c>
      <c r="N28" s="7"/>
      <c r="O28" s="127">
        <f>VLOOKUP(A28,'درآمد ناشی از تغییر قیمت اوراق'!$A$7:$Q$41,17,0)</f>
        <v>134029344731</v>
      </c>
      <c r="P28" s="127"/>
      <c r="Q28" s="127"/>
      <c r="R28" s="7"/>
      <c r="S28" s="56">
        <f>VLOOKUP(A28,'درآمد ناشی از فروش'!$A$7:$Q$53,17,0)</f>
        <v>-12292540963</v>
      </c>
      <c r="T28" s="7"/>
      <c r="U28" s="58">
        <f t="shared" si="1"/>
        <v>121736803768</v>
      </c>
      <c r="V28" s="7"/>
      <c r="W28" s="12"/>
      <c r="Y28" s="28"/>
      <c r="AD28" s="11"/>
      <c r="AF28" s="11"/>
      <c r="AH28" s="52"/>
    </row>
    <row r="29" spans="1:37" ht="30" customHeight="1">
      <c r="A29" s="28" t="s">
        <v>152</v>
      </c>
      <c r="B29" s="7"/>
      <c r="C29" s="11">
        <v>0</v>
      </c>
      <c r="D29" s="7"/>
      <c r="E29" s="56">
        <f>VLOOKUP(A29,'درآمد ناشی از تغییر قیمت اوراق'!$A$7:$I$46,9,0)</f>
        <v>1268419485</v>
      </c>
      <c r="F29" s="7"/>
      <c r="G29" s="56">
        <v>0</v>
      </c>
      <c r="H29" s="7"/>
      <c r="I29" s="56">
        <f t="shared" si="0"/>
        <v>1268419485</v>
      </c>
      <c r="J29" s="7"/>
      <c r="K29" s="12"/>
      <c r="L29" s="7"/>
      <c r="M29" s="11">
        <v>0</v>
      </c>
      <c r="N29" s="7"/>
      <c r="O29" s="127">
        <f>VLOOKUP(A29,'درآمد ناشی از تغییر قیمت اوراق'!$A$7:$Q$41,17,0)</f>
        <v>12925328602</v>
      </c>
      <c r="P29" s="127"/>
      <c r="Q29" s="127"/>
      <c r="R29" s="7"/>
      <c r="S29" s="56">
        <f>VLOOKUP(A29,'درآمد ناشی از فروش'!$A$7:$Q$53,17,0)</f>
        <v>299439929</v>
      </c>
      <c r="T29" s="7"/>
      <c r="U29" s="58">
        <f t="shared" si="1"/>
        <v>13224768531</v>
      </c>
      <c r="V29" s="7"/>
      <c r="W29" s="12"/>
      <c r="AD29" s="11"/>
      <c r="AF29" s="11"/>
      <c r="AH29" s="52"/>
    </row>
    <row r="30" spans="1:37" ht="30" customHeight="1">
      <c r="A30" s="28" t="s">
        <v>138</v>
      </c>
      <c r="B30" s="7"/>
      <c r="C30" s="11">
        <v>0</v>
      </c>
      <c r="D30" s="7"/>
      <c r="E30" s="56">
        <v>0</v>
      </c>
      <c r="F30" s="7"/>
      <c r="G30" s="56">
        <v>0</v>
      </c>
      <c r="H30" s="7"/>
      <c r="I30" s="56">
        <f t="shared" si="0"/>
        <v>0</v>
      </c>
      <c r="J30" s="7"/>
      <c r="K30" s="12"/>
      <c r="L30" s="7"/>
      <c r="M30" s="11">
        <v>0</v>
      </c>
      <c r="N30" s="7"/>
      <c r="O30" s="127">
        <v>0</v>
      </c>
      <c r="P30" s="127"/>
      <c r="Q30" s="127"/>
      <c r="R30" s="7"/>
      <c r="S30" s="56">
        <f>VLOOKUP(A30,'درآمد ناشی از فروش'!$A$7:$Q$53,17,0)</f>
        <v>-1150667688</v>
      </c>
      <c r="T30" s="7"/>
      <c r="U30" s="58">
        <f t="shared" si="1"/>
        <v>-1150667688</v>
      </c>
      <c r="V30" s="7"/>
      <c r="W30" s="12"/>
      <c r="Y30" s="28"/>
      <c r="AD30" s="11"/>
      <c r="AF30" s="11"/>
      <c r="AH30" s="52"/>
    </row>
    <row r="31" spans="1:37" ht="30" customHeight="1">
      <c r="A31" s="28" t="s">
        <v>76</v>
      </c>
      <c r="B31" s="7"/>
      <c r="C31" s="11">
        <v>0</v>
      </c>
      <c r="D31" s="7"/>
      <c r="E31" s="56">
        <v>0</v>
      </c>
      <c r="F31" s="7"/>
      <c r="G31" s="56">
        <v>0</v>
      </c>
      <c r="H31" s="7"/>
      <c r="I31" s="56">
        <f t="shared" si="0"/>
        <v>0</v>
      </c>
      <c r="J31" s="7"/>
      <c r="K31" s="12"/>
      <c r="L31" s="7"/>
      <c r="M31" s="11">
        <v>0</v>
      </c>
      <c r="N31" s="7"/>
      <c r="O31" s="127">
        <v>0</v>
      </c>
      <c r="P31" s="127"/>
      <c r="Q31" s="127"/>
      <c r="R31" s="7"/>
      <c r="S31" s="56">
        <f>VLOOKUP(A31,'درآمد ناشی از فروش'!$A$7:$Q$53,17,0)</f>
        <v>-182155</v>
      </c>
      <c r="T31" s="7"/>
      <c r="U31" s="58">
        <f t="shared" si="1"/>
        <v>-182155</v>
      </c>
      <c r="V31" s="7"/>
      <c r="W31" s="12"/>
      <c r="Y31" s="28"/>
      <c r="AD31" s="11"/>
      <c r="AF31" s="11"/>
      <c r="AH31" s="52"/>
    </row>
    <row r="32" spans="1:37" ht="30" customHeight="1">
      <c r="A32" s="28" t="s">
        <v>139</v>
      </c>
      <c r="B32" s="7"/>
      <c r="C32" s="11">
        <v>0</v>
      </c>
      <c r="D32" s="7"/>
      <c r="E32" s="56">
        <f>VLOOKUP(A32,'درآمد ناشی از تغییر قیمت اوراق'!$A$7:$I$46,9,0)</f>
        <v>-70146599</v>
      </c>
      <c r="F32" s="7"/>
      <c r="G32" s="56">
        <v>0</v>
      </c>
      <c r="H32" s="7"/>
      <c r="I32" s="56">
        <f t="shared" si="0"/>
        <v>-70146599</v>
      </c>
      <c r="J32" s="7"/>
      <c r="K32" s="12"/>
      <c r="L32" s="7"/>
      <c r="M32" s="11">
        <f>VLOOKUP(A32,'درآمد سود سهام'!$A$7:$O$29,15,0)</f>
        <v>126237600</v>
      </c>
      <c r="N32" s="7"/>
      <c r="O32" s="127">
        <f>VLOOKUP(A32,'درآمد ناشی از تغییر قیمت اوراق'!$A$7:$Q$41,17,0)</f>
        <v>-61652157</v>
      </c>
      <c r="P32" s="127"/>
      <c r="Q32" s="127"/>
      <c r="R32" s="7"/>
      <c r="S32" s="56">
        <f>VLOOKUP(A32,'درآمد ناشی از فروش'!$A$7:$Q$53,17,0)</f>
        <v>-66048511</v>
      </c>
      <c r="T32" s="7"/>
      <c r="U32" s="58">
        <f t="shared" si="1"/>
        <v>-1463068</v>
      </c>
      <c r="V32" s="7"/>
      <c r="W32" s="12"/>
      <c r="AD32" s="11"/>
      <c r="AF32" s="11"/>
      <c r="AH32" s="52"/>
    </row>
    <row r="33" spans="1:35" ht="30" customHeight="1">
      <c r="A33" s="28" t="s">
        <v>29</v>
      </c>
      <c r="B33" s="7"/>
      <c r="C33" s="11">
        <v>0</v>
      </c>
      <c r="D33" s="7"/>
      <c r="E33" s="56">
        <f>VLOOKUP(A33,'درآمد ناشی از تغییر قیمت اوراق'!$A$7:$I$46,9,0)</f>
        <v>-36649358098</v>
      </c>
      <c r="F33" s="7"/>
      <c r="G33" s="56">
        <f>VLOOKUP(A33,'درآمد ناشی از فروش'!$A$7:$Q$54,9,0)</f>
        <v>64368645298</v>
      </c>
      <c r="H33" s="7"/>
      <c r="I33" s="56">
        <f t="shared" si="0"/>
        <v>27719287200</v>
      </c>
      <c r="J33" s="7"/>
      <c r="K33" s="12"/>
      <c r="L33" s="7"/>
      <c r="M33" s="11">
        <f>VLOOKUP(A33,'درآمد سود سهام'!$A$7:$O$29,15,0)</f>
        <v>23925000000</v>
      </c>
      <c r="N33" s="7"/>
      <c r="O33" s="127">
        <f>VLOOKUP(A33,'درآمد ناشی از تغییر قیمت اوراق'!$A$7:$Q$41,17,0)</f>
        <v>213221330760</v>
      </c>
      <c r="P33" s="127"/>
      <c r="Q33" s="127"/>
      <c r="R33" s="7"/>
      <c r="S33" s="56">
        <f>VLOOKUP(A33,'درآمد ناشی از فروش'!$A$7:$Q$53,17,0)</f>
        <v>67387886532</v>
      </c>
      <c r="T33" s="7"/>
      <c r="U33" s="58">
        <f t="shared" si="1"/>
        <v>304534217292</v>
      </c>
      <c r="V33" s="7"/>
      <c r="W33" s="12"/>
      <c r="Y33" s="20"/>
      <c r="Z33" s="20"/>
      <c r="AA33" s="20"/>
      <c r="AB33" s="101"/>
      <c r="AC33" s="20"/>
      <c r="AD33" s="60"/>
      <c r="AE33" s="20"/>
      <c r="AF33" s="60"/>
      <c r="AG33" s="20"/>
      <c r="AH33" s="94"/>
      <c r="AI33" s="94"/>
    </row>
    <row r="34" spans="1:35" ht="30" customHeight="1">
      <c r="A34" s="28" t="s">
        <v>26</v>
      </c>
      <c r="B34" s="7"/>
      <c r="C34" s="11">
        <v>0</v>
      </c>
      <c r="D34" s="7"/>
      <c r="E34" s="56">
        <v>0</v>
      </c>
      <c r="F34" s="7"/>
      <c r="G34" s="56">
        <v>0</v>
      </c>
      <c r="H34" s="7"/>
      <c r="I34" s="56">
        <f t="shared" si="0"/>
        <v>0</v>
      </c>
      <c r="J34" s="7"/>
      <c r="K34" s="12"/>
      <c r="L34" s="7"/>
      <c r="M34" s="11">
        <v>0</v>
      </c>
      <c r="N34" s="7"/>
      <c r="O34" s="127">
        <v>0</v>
      </c>
      <c r="P34" s="127"/>
      <c r="Q34" s="127"/>
      <c r="R34" s="7"/>
      <c r="S34" s="56">
        <f>VLOOKUP(A34,'درآمد ناشی از فروش'!$A$7:$Q$53,17,0)</f>
        <v>605767129</v>
      </c>
      <c r="T34" s="7"/>
      <c r="U34" s="58">
        <f t="shared" si="1"/>
        <v>605767129</v>
      </c>
      <c r="V34" s="7"/>
      <c r="W34" s="12"/>
    </row>
    <row r="35" spans="1:35" ht="30" customHeight="1">
      <c r="A35" s="28" t="s">
        <v>125</v>
      </c>
      <c r="B35" s="7"/>
      <c r="C35" s="11">
        <v>0</v>
      </c>
      <c r="D35" s="7"/>
      <c r="E35" s="56">
        <f>VLOOKUP(A35,'درآمد ناشی از تغییر قیمت اوراق'!$A$7:$I$46,9,0)</f>
        <v>-3635755359</v>
      </c>
      <c r="F35" s="7"/>
      <c r="G35" s="56">
        <f>VLOOKUP(A35,'درآمد ناشی از فروش'!$A$7:$Q$54,9,0)</f>
        <v>1020582908</v>
      </c>
      <c r="H35" s="7"/>
      <c r="I35" s="56">
        <f t="shared" si="0"/>
        <v>-2615172451</v>
      </c>
      <c r="J35" s="7"/>
      <c r="K35" s="12"/>
      <c r="L35" s="7"/>
      <c r="M35" s="11">
        <v>0</v>
      </c>
      <c r="N35" s="7"/>
      <c r="O35" s="127">
        <f>VLOOKUP(A35,'درآمد ناشی از تغییر قیمت اوراق'!$A$7:$Q$41,17,0)</f>
        <v>22602886364</v>
      </c>
      <c r="P35" s="127"/>
      <c r="Q35" s="127"/>
      <c r="R35" s="7"/>
      <c r="S35" s="56">
        <f>VLOOKUP(A35,'درآمد ناشی از فروش'!$A$7:$Q$53,17,0)</f>
        <v>4081582679</v>
      </c>
      <c r="T35" s="7"/>
      <c r="U35" s="58">
        <f t="shared" si="1"/>
        <v>26684469043</v>
      </c>
      <c r="V35" s="7"/>
      <c r="W35" s="12"/>
    </row>
    <row r="36" spans="1:35" ht="30" customHeight="1">
      <c r="A36" s="28" t="s">
        <v>132</v>
      </c>
      <c r="B36" s="7"/>
      <c r="C36" s="11">
        <v>0</v>
      </c>
      <c r="D36" s="7"/>
      <c r="E36" s="56">
        <f>VLOOKUP(A36,'درآمد ناشی از تغییر قیمت اوراق'!$A$7:$I$46,9,0)</f>
        <v>-21786329705</v>
      </c>
      <c r="F36" s="7"/>
      <c r="G36" s="56">
        <v>0</v>
      </c>
      <c r="H36" s="7"/>
      <c r="I36" s="56">
        <f t="shared" si="0"/>
        <v>-21786329705</v>
      </c>
      <c r="J36" s="7"/>
      <c r="K36" s="12"/>
      <c r="L36" s="7"/>
      <c r="M36" s="11">
        <f>VLOOKUP(A36,'درآمد سود سهام'!$A$7:$O$29,15,0)</f>
        <v>1030012650</v>
      </c>
      <c r="N36" s="7"/>
      <c r="O36" s="127">
        <f>VLOOKUP(A36,'درآمد ناشی از تغییر قیمت اوراق'!$A$7:$Q$41,17,0)</f>
        <v>4877536673</v>
      </c>
      <c r="P36" s="127"/>
      <c r="Q36" s="127"/>
      <c r="R36" s="7"/>
      <c r="S36" s="56">
        <f>VLOOKUP(A36,'درآمد ناشی از فروش'!$A$7:$Q$53,17,0)</f>
        <v>-575735135</v>
      </c>
      <c r="T36" s="7"/>
      <c r="U36" s="58">
        <f t="shared" si="1"/>
        <v>5331814188</v>
      </c>
      <c r="V36" s="7"/>
      <c r="W36" s="12"/>
    </row>
    <row r="37" spans="1:35" ht="30" customHeight="1">
      <c r="A37" s="28" t="s">
        <v>77</v>
      </c>
      <c r="B37" s="7"/>
      <c r="C37" s="11">
        <v>0</v>
      </c>
      <c r="D37" s="7"/>
      <c r="E37" s="56">
        <v>0</v>
      </c>
      <c r="F37" s="7"/>
      <c r="G37" s="56">
        <v>0</v>
      </c>
      <c r="H37" s="7"/>
      <c r="I37" s="56">
        <f t="shared" si="0"/>
        <v>0</v>
      </c>
      <c r="J37" s="7"/>
      <c r="K37" s="12"/>
      <c r="L37" s="7"/>
      <c r="M37" s="11">
        <v>0</v>
      </c>
      <c r="N37" s="7"/>
      <c r="O37" s="127">
        <v>0</v>
      </c>
      <c r="P37" s="127"/>
      <c r="Q37" s="127"/>
      <c r="R37" s="7"/>
      <c r="S37" s="56">
        <f>VLOOKUP(A37,'درآمد ناشی از فروش'!$A$7:$Q$53,17,0)</f>
        <v>451185132</v>
      </c>
      <c r="T37" s="7"/>
      <c r="U37" s="58">
        <f t="shared" si="1"/>
        <v>451185132</v>
      </c>
      <c r="V37" s="7"/>
      <c r="W37" s="12"/>
    </row>
    <row r="38" spans="1:35" ht="30" customHeight="1">
      <c r="A38" s="28" t="s">
        <v>150</v>
      </c>
      <c r="B38" s="7"/>
      <c r="C38" s="11">
        <v>0</v>
      </c>
      <c r="D38" s="7"/>
      <c r="E38" s="56">
        <f>VLOOKUP(A38,'درآمد ناشی از تغییر قیمت اوراق'!$A$7:$I$46,9,0)</f>
        <v>-13138150935</v>
      </c>
      <c r="F38" s="7"/>
      <c r="G38" s="56">
        <v>0</v>
      </c>
      <c r="H38" s="7"/>
      <c r="I38" s="56">
        <f t="shared" si="0"/>
        <v>-13138150935</v>
      </c>
      <c r="J38" s="7"/>
      <c r="K38" s="12"/>
      <c r="L38" s="7"/>
      <c r="M38" s="11">
        <v>0</v>
      </c>
      <c r="N38" s="7"/>
      <c r="O38" s="127">
        <f>VLOOKUP(A38,'درآمد ناشی از تغییر قیمت اوراق'!$A$7:$Q$41,17,0)</f>
        <v>2196580113</v>
      </c>
      <c r="P38" s="127"/>
      <c r="Q38" s="127"/>
      <c r="R38" s="7"/>
      <c r="S38" s="56">
        <f>VLOOKUP(A38,'درآمد ناشی از فروش'!$A$7:$Q$53,17,0)</f>
        <v>-9997069514</v>
      </c>
      <c r="T38" s="7"/>
      <c r="U38" s="58">
        <f t="shared" si="1"/>
        <v>-7800489401</v>
      </c>
      <c r="V38" s="7"/>
      <c r="W38" s="12"/>
    </row>
    <row r="39" spans="1:35" ht="30" customHeight="1">
      <c r="A39" s="28" t="s">
        <v>41</v>
      </c>
      <c r="B39" s="7"/>
      <c r="C39" s="11">
        <v>0</v>
      </c>
      <c r="D39" s="7"/>
      <c r="E39" s="56">
        <v>0</v>
      </c>
      <c r="F39" s="7"/>
      <c r="G39" s="56">
        <v>0</v>
      </c>
      <c r="H39" s="7"/>
      <c r="I39" s="56">
        <f t="shared" si="0"/>
        <v>0</v>
      </c>
      <c r="J39" s="7"/>
      <c r="K39" s="12"/>
      <c r="L39" s="7"/>
      <c r="M39" s="11">
        <f>VLOOKUP(A39,'درآمد سود سهام'!$A$7:$O$29,15,0)</f>
        <v>364500000</v>
      </c>
      <c r="N39" s="7"/>
      <c r="O39" s="127">
        <v>0</v>
      </c>
      <c r="P39" s="127"/>
      <c r="Q39" s="127"/>
      <c r="R39" s="7"/>
      <c r="S39" s="56">
        <f>VLOOKUP(A39,'درآمد ناشی از فروش'!$A$7:$Q$53,17,0)</f>
        <v>-4726200801</v>
      </c>
      <c r="T39" s="7"/>
      <c r="U39" s="58">
        <f t="shared" si="1"/>
        <v>-4361700801</v>
      </c>
      <c r="V39" s="7"/>
      <c r="W39" s="12"/>
    </row>
    <row r="40" spans="1:35" ht="30" customHeight="1">
      <c r="A40" s="28" t="s">
        <v>140</v>
      </c>
      <c r="B40" s="7"/>
      <c r="C40" s="11">
        <v>0</v>
      </c>
      <c r="D40" s="7"/>
      <c r="E40" s="56">
        <f>VLOOKUP(A40,'درآمد ناشی از تغییر قیمت اوراق'!$A$7:$I$46,9,0)</f>
        <v>-5036682318</v>
      </c>
      <c r="F40" s="7"/>
      <c r="G40" s="56">
        <f>VLOOKUP(A40,'درآمد ناشی از فروش'!$A$7:$Q$54,9,0)</f>
        <v>-357896309</v>
      </c>
      <c r="H40" s="7"/>
      <c r="I40" s="56">
        <f t="shared" si="0"/>
        <v>-5394578627</v>
      </c>
      <c r="J40" s="7"/>
      <c r="K40" s="12"/>
      <c r="L40" s="7"/>
      <c r="M40" s="11">
        <f>VLOOKUP(A40,'درآمد سود سهام'!$A$7:$O$29,15,0)</f>
        <v>271060244</v>
      </c>
      <c r="N40" s="7"/>
      <c r="O40" s="127">
        <f>VLOOKUP(A40,'درآمد ناشی از تغییر قیمت اوراق'!$A$7:$Q$41,17,0)</f>
        <v>-3442180665</v>
      </c>
      <c r="P40" s="127"/>
      <c r="Q40" s="127"/>
      <c r="R40" s="7"/>
      <c r="S40" s="56">
        <f>VLOOKUP(A40,'درآمد ناشی از فروش'!$A$7:$Q$53,17,0)</f>
        <v>-1517726276</v>
      </c>
      <c r="T40" s="7"/>
      <c r="U40" s="58">
        <f t="shared" si="1"/>
        <v>-4688846697</v>
      </c>
      <c r="V40" s="7"/>
      <c r="W40" s="12"/>
    </row>
    <row r="41" spans="1:35" ht="30" customHeight="1">
      <c r="A41" s="28" t="s">
        <v>36</v>
      </c>
      <c r="B41" s="7"/>
      <c r="C41" s="11">
        <v>0</v>
      </c>
      <c r="D41" s="7"/>
      <c r="E41" s="56">
        <v>0</v>
      </c>
      <c r="F41" s="7"/>
      <c r="G41" s="56">
        <v>0</v>
      </c>
      <c r="H41" s="7"/>
      <c r="I41" s="56">
        <f t="shared" si="0"/>
        <v>0</v>
      </c>
      <c r="J41" s="7"/>
      <c r="K41" s="12"/>
      <c r="L41" s="7"/>
      <c r="M41" s="11">
        <f>VLOOKUP(A41,'درآمد سود سهام'!$A$7:$O$29,15,0)</f>
        <v>1865339000</v>
      </c>
      <c r="N41" s="7"/>
      <c r="O41" s="127">
        <v>0</v>
      </c>
      <c r="P41" s="127"/>
      <c r="Q41" s="127"/>
      <c r="R41" s="7"/>
      <c r="S41" s="56">
        <f>VLOOKUP(A41,'درآمد ناشی از فروش'!$A$7:$Q$53,17,0)</f>
        <v>-7893343402</v>
      </c>
      <c r="T41" s="7"/>
      <c r="U41" s="58">
        <f t="shared" si="1"/>
        <v>-6028004402</v>
      </c>
      <c r="V41" s="7"/>
      <c r="W41" s="12"/>
    </row>
    <row r="42" spans="1:35" ht="30" customHeight="1">
      <c r="A42" s="28" t="s">
        <v>24</v>
      </c>
      <c r="B42" s="7"/>
      <c r="C42" s="11">
        <v>0</v>
      </c>
      <c r="D42" s="7"/>
      <c r="E42" s="56">
        <f>VLOOKUP(A42,'درآمد ناشی از تغییر قیمت اوراق'!$A$7:$I$46,9,0)</f>
        <v>-3927961064</v>
      </c>
      <c r="F42" s="7"/>
      <c r="G42" s="56">
        <f>VLOOKUP(A42,'درآمد ناشی از فروش'!$A$7:$Q$54,9,0)</f>
        <v>6798483448</v>
      </c>
      <c r="H42" s="7"/>
      <c r="I42" s="56">
        <f t="shared" si="0"/>
        <v>2870522384</v>
      </c>
      <c r="J42" s="7"/>
      <c r="K42" s="12"/>
      <c r="L42" s="7"/>
      <c r="M42" s="11">
        <v>0</v>
      </c>
      <c r="N42" s="7"/>
      <c r="O42" s="127">
        <f>VLOOKUP(A42,'درآمد ناشی از تغییر قیمت اوراق'!$A$7:$Q$41,17,0)</f>
        <v>5503610436</v>
      </c>
      <c r="P42" s="127"/>
      <c r="Q42" s="127"/>
      <c r="R42" s="7"/>
      <c r="S42" s="56">
        <f>VLOOKUP(A42,'درآمد ناشی از فروش'!$A$7:$Q$53,17,0)</f>
        <v>23044121456</v>
      </c>
      <c r="T42" s="7"/>
      <c r="U42" s="58">
        <f t="shared" si="1"/>
        <v>28547731892</v>
      </c>
      <c r="V42" s="7"/>
      <c r="W42" s="12"/>
    </row>
    <row r="43" spans="1:35" ht="30" customHeight="1">
      <c r="A43" s="28" t="s">
        <v>141</v>
      </c>
      <c r="B43" s="7"/>
      <c r="C43" s="11">
        <v>0</v>
      </c>
      <c r="D43" s="7"/>
      <c r="E43" s="56">
        <f>VLOOKUP(A43,'درآمد ناشی از تغییر قیمت اوراق'!$A$7:$I$46,9,0)</f>
        <v>-15077121267</v>
      </c>
      <c r="F43" s="7"/>
      <c r="G43" s="56">
        <f>VLOOKUP(A43,'درآمد ناشی از فروش'!$A$7:$Q$54,9,0)</f>
        <v>950443661</v>
      </c>
      <c r="H43" s="7"/>
      <c r="I43" s="56">
        <f t="shared" si="0"/>
        <v>-14126677606</v>
      </c>
      <c r="J43" s="7"/>
      <c r="K43" s="12"/>
      <c r="L43" s="7"/>
      <c r="M43" s="11">
        <f>VLOOKUP(A43,'درآمد سود سهام'!$A$7:$O$29,15,0)</f>
        <v>13585568150</v>
      </c>
      <c r="N43" s="7"/>
      <c r="O43" s="127">
        <f>VLOOKUP(A43,'درآمد ناشی از تغییر قیمت اوراق'!$A$7:$Q$41,17,0)</f>
        <v>53280057324</v>
      </c>
      <c r="P43" s="127"/>
      <c r="Q43" s="127"/>
      <c r="R43" s="7"/>
      <c r="S43" s="56">
        <f>VLOOKUP(A43,'درآمد ناشی از فروش'!$A$7:$Q$53,17,0)</f>
        <v>1860423703</v>
      </c>
      <c r="T43" s="7"/>
      <c r="U43" s="58">
        <f t="shared" si="1"/>
        <v>68726049177</v>
      </c>
      <c r="V43" s="7"/>
      <c r="W43" s="12"/>
    </row>
    <row r="44" spans="1:35" ht="30" customHeight="1">
      <c r="A44" s="28" t="s">
        <v>142</v>
      </c>
      <c r="B44" s="7"/>
      <c r="C44" s="11">
        <v>0</v>
      </c>
      <c r="D44" s="7"/>
      <c r="E44" s="56">
        <f>VLOOKUP(A44,'درآمد ناشی از تغییر قیمت اوراق'!$A$7:$I$46,9,0)</f>
        <v>-80639385842</v>
      </c>
      <c r="F44" s="7"/>
      <c r="G44" s="56">
        <f>VLOOKUP(A44,'درآمد ناشی از فروش'!$A$7:$Q$54,9,0)</f>
        <v>-7135</v>
      </c>
      <c r="H44" s="7"/>
      <c r="I44" s="56">
        <f t="shared" si="0"/>
        <v>-80639392977</v>
      </c>
      <c r="J44" s="7"/>
      <c r="K44" s="12"/>
      <c r="L44" s="7"/>
      <c r="M44" s="11">
        <f>VLOOKUP(A44,'درآمد سود سهام'!$A$7:$O$29,15,0)</f>
        <v>11750844000</v>
      </c>
      <c r="N44" s="7"/>
      <c r="O44" s="127">
        <f>VLOOKUP(A44,'درآمد ناشی از تغییر قیمت اوراق'!$A$7:$Q$41,17,0)</f>
        <v>20424546750</v>
      </c>
      <c r="P44" s="127"/>
      <c r="Q44" s="127"/>
      <c r="R44" s="7"/>
      <c r="S44" s="56">
        <f>VLOOKUP(A44,'درآمد ناشی از فروش'!$A$7:$Q$53,17,0)</f>
        <v>2591239271</v>
      </c>
      <c r="T44" s="7"/>
      <c r="U44" s="58">
        <f t="shared" si="1"/>
        <v>34766630021</v>
      </c>
      <c r="V44" s="7"/>
      <c r="W44" s="12"/>
    </row>
    <row r="45" spans="1:35" ht="30" customHeight="1">
      <c r="A45" s="28" t="s">
        <v>16</v>
      </c>
      <c r="B45" s="7"/>
      <c r="C45" s="11">
        <v>0</v>
      </c>
      <c r="D45" s="7"/>
      <c r="E45" s="56">
        <f>VLOOKUP(A45,'درآمد ناشی از تغییر قیمت اوراق'!$A$7:$I$46,9,0)</f>
        <v>-10517923005</v>
      </c>
      <c r="F45" s="7"/>
      <c r="G45" s="56">
        <f>VLOOKUP(A45,'درآمد ناشی از فروش'!$A$7:$Q$54,9,0)</f>
        <v>1111737152</v>
      </c>
      <c r="H45" s="7"/>
      <c r="I45" s="56">
        <f t="shared" si="0"/>
        <v>-9406185853</v>
      </c>
      <c r="J45" s="7"/>
      <c r="K45" s="12"/>
      <c r="L45" s="7"/>
      <c r="M45" s="11">
        <f>VLOOKUP(A45,'درآمد سود سهام'!$A$7:$O$29,15,0)</f>
        <v>5264990900</v>
      </c>
      <c r="N45" s="7"/>
      <c r="O45" s="127">
        <f>VLOOKUP(A45,'درآمد ناشی از تغییر قیمت اوراق'!$A$7:$Q$41,17,0)</f>
        <v>-186199137</v>
      </c>
      <c r="P45" s="127"/>
      <c r="Q45" s="127"/>
      <c r="R45" s="7"/>
      <c r="S45" s="56">
        <f>VLOOKUP(A45,'درآمد ناشی از فروش'!$A$7:$Q$53,17,0)</f>
        <v>11841383873</v>
      </c>
      <c r="T45" s="7"/>
      <c r="U45" s="58">
        <f t="shared" si="1"/>
        <v>16920175636</v>
      </c>
      <c r="V45" s="7"/>
      <c r="W45" s="12"/>
    </row>
    <row r="46" spans="1:35" ht="30" customHeight="1">
      <c r="A46" s="28" t="s">
        <v>19</v>
      </c>
      <c r="B46" s="7"/>
      <c r="C46" s="11">
        <v>0</v>
      </c>
      <c r="D46" s="7"/>
      <c r="E46" s="56">
        <f>VLOOKUP(A46,'درآمد ناشی از تغییر قیمت اوراق'!$A$7:$I$46,9,0)</f>
        <v>-16623924249</v>
      </c>
      <c r="F46" s="7"/>
      <c r="G46" s="56">
        <v>0</v>
      </c>
      <c r="H46" s="7"/>
      <c r="I46" s="56">
        <f t="shared" si="0"/>
        <v>-16623924249</v>
      </c>
      <c r="J46" s="7"/>
      <c r="K46" s="12"/>
      <c r="L46" s="7"/>
      <c r="M46" s="11">
        <f>VLOOKUP(A46,'درآمد سود سهام'!$A$7:$O$29,15,0)</f>
        <v>7711965480</v>
      </c>
      <c r="N46" s="7"/>
      <c r="O46" s="127">
        <f>VLOOKUP(A46,'درآمد ناشی از تغییر قیمت اوراق'!$A$7:$Q$41,17,0)</f>
        <v>-7521877752</v>
      </c>
      <c r="P46" s="127"/>
      <c r="Q46" s="127"/>
      <c r="R46" s="7"/>
      <c r="S46" s="56">
        <f>VLOOKUP(A46,'درآمد ناشی از فروش'!$A$7:$Q$53,17,0)</f>
        <v>2092660252</v>
      </c>
      <c r="T46" s="7"/>
      <c r="U46" s="58">
        <f t="shared" si="1"/>
        <v>2282747980</v>
      </c>
      <c r="V46" s="7"/>
      <c r="W46" s="12"/>
    </row>
    <row r="47" spans="1:35" ht="30" customHeight="1">
      <c r="A47" s="28" t="s">
        <v>15</v>
      </c>
      <c r="B47" s="7"/>
      <c r="C47" s="11">
        <v>0</v>
      </c>
      <c r="D47" s="7"/>
      <c r="E47" s="56">
        <f>VLOOKUP(A47,'درآمد ناشی از تغییر قیمت اوراق'!$A$7:$I$46,9,0)</f>
        <v>-1008394</v>
      </c>
      <c r="F47" s="7"/>
      <c r="G47" s="56">
        <v>0</v>
      </c>
      <c r="H47" s="7"/>
      <c r="I47" s="56">
        <f t="shared" si="0"/>
        <v>-1008394</v>
      </c>
      <c r="J47" s="7"/>
      <c r="K47" s="12"/>
      <c r="L47" s="7"/>
      <c r="M47" s="11">
        <f>VLOOKUP(A47,'درآمد سود سهام'!$A$7:$O$29,15,0)</f>
        <v>525000</v>
      </c>
      <c r="N47" s="7"/>
      <c r="O47" s="127">
        <f>VLOOKUP(A47,'درآمد ناشی از تغییر قیمت اوراق'!$A$7:$Q$41,17,0)</f>
        <v>822148</v>
      </c>
      <c r="P47" s="127"/>
      <c r="Q47" s="127"/>
      <c r="R47" s="7"/>
      <c r="S47" s="56">
        <v>0</v>
      </c>
      <c r="T47" s="7"/>
      <c r="U47" s="58">
        <f t="shared" si="1"/>
        <v>1347148</v>
      </c>
      <c r="V47" s="7"/>
      <c r="W47" s="12"/>
    </row>
    <row r="48" spans="1:35" ht="30" customHeight="1">
      <c r="A48" s="28" t="s">
        <v>121</v>
      </c>
      <c r="B48" s="7"/>
      <c r="C48" s="11">
        <v>0</v>
      </c>
      <c r="D48" s="7"/>
      <c r="E48" s="56">
        <v>0</v>
      </c>
      <c r="F48" s="7"/>
      <c r="G48" s="56">
        <v>0</v>
      </c>
      <c r="H48" s="7"/>
      <c r="I48" s="56">
        <f t="shared" si="0"/>
        <v>0</v>
      </c>
      <c r="J48" s="7"/>
      <c r="K48" s="12"/>
      <c r="L48" s="7"/>
      <c r="M48" s="11">
        <v>0</v>
      </c>
      <c r="N48" s="7"/>
      <c r="O48" s="127">
        <v>0</v>
      </c>
      <c r="P48" s="127"/>
      <c r="Q48" s="127"/>
      <c r="R48" s="7"/>
      <c r="S48" s="56">
        <f>VLOOKUP(A48,'درآمد ناشی از فروش'!$A$7:$Q$53,17,0)</f>
        <v>86592369</v>
      </c>
      <c r="T48" s="7"/>
      <c r="U48" s="58">
        <f t="shared" si="1"/>
        <v>86592369</v>
      </c>
      <c r="V48" s="7"/>
      <c r="W48" s="12"/>
    </row>
    <row r="49" spans="1:35" ht="30" customHeight="1">
      <c r="A49" s="28" t="s">
        <v>124</v>
      </c>
      <c r="B49" s="7"/>
      <c r="C49" s="11">
        <v>0</v>
      </c>
      <c r="D49" s="7"/>
      <c r="E49" s="56">
        <v>0</v>
      </c>
      <c r="F49" s="7"/>
      <c r="G49" s="56">
        <v>0</v>
      </c>
      <c r="H49" s="7"/>
      <c r="I49" s="56">
        <f t="shared" si="0"/>
        <v>0</v>
      </c>
      <c r="J49" s="7"/>
      <c r="K49" s="12"/>
      <c r="L49" s="7"/>
      <c r="M49" s="11">
        <v>0</v>
      </c>
      <c r="N49" s="7"/>
      <c r="O49" s="127">
        <v>0</v>
      </c>
      <c r="P49" s="127"/>
      <c r="Q49" s="127"/>
      <c r="R49" s="7"/>
      <c r="S49" s="56">
        <f>VLOOKUP(A49,'درآمد ناشی از فروش'!$A$7:$Q$53,17,0)</f>
        <v>1943285467</v>
      </c>
      <c r="T49" s="7"/>
      <c r="U49" s="58">
        <f t="shared" si="1"/>
        <v>1943285467</v>
      </c>
      <c r="V49" s="7"/>
      <c r="W49" s="12"/>
    </row>
    <row r="50" spans="1:35" ht="30" customHeight="1">
      <c r="A50" s="28" t="s">
        <v>30</v>
      </c>
      <c r="B50" s="7"/>
      <c r="C50" s="11">
        <v>0</v>
      </c>
      <c r="D50" s="7"/>
      <c r="E50" s="56">
        <f>VLOOKUP(A50,'درآمد ناشی از تغییر قیمت اوراق'!$A$7:$I$46,9,0)</f>
        <v>-33200508641</v>
      </c>
      <c r="F50" s="7"/>
      <c r="G50" s="56">
        <f>VLOOKUP(A50,'درآمد ناشی از فروش'!$A$7:$Q$54,9,0)</f>
        <v>2803403818</v>
      </c>
      <c r="H50" s="7"/>
      <c r="I50" s="56">
        <f t="shared" si="0"/>
        <v>-30397104823</v>
      </c>
      <c r="J50" s="7"/>
      <c r="K50" s="12"/>
      <c r="L50" s="7"/>
      <c r="M50" s="11">
        <v>0</v>
      </c>
      <c r="N50" s="7"/>
      <c r="O50" s="127">
        <f>VLOOKUP(A50,'درآمد ناشی از تغییر قیمت اوراق'!$A$7:$Q$41,17,0)</f>
        <v>121043974746</v>
      </c>
      <c r="P50" s="127"/>
      <c r="Q50" s="127"/>
      <c r="R50" s="7"/>
      <c r="S50" s="56">
        <f>VLOOKUP(A50,'درآمد ناشی از فروش'!$A$7:$Q$53,17,0)</f>
        <v>2803403818</v>
      </c>
      <c r="T50" s="7"/>
      <c r="U50" s="58">
        <f t="shared" si="1"/>
        <v>123847378564</v>
      </c>
      <c r="V50" s="7"/>
      <c r="W50" s="12"/>
    </row>
    <row r="51" spans="1:35" ht="30" customHeight="1">
      <c r="A51" s="28" t="s">
        <v>143</v>
      </c>
      <c r="B51" s="7"/>
      <c r="C51" s="11">
        <v>0</v>
      </c>
      <c r="D51" s="7"/>
      <c r="E51" s="56">
        <f>VLOOKUP(A51,'درآمد ناشی از تغییر قیمت اوراق'!$A$7:$I$46,9,0)</f>
        <v>-17938710775</v>
      </c>
      <c r="F51" s="7"/>
      <c r="G51" s="56">
        <v>0</v>
      </c>
      <c r="H51" s="7"/>
      <c r="I51" s="56">
        <f t="shared" si="0"/>
        <v>-17938710775</v>
      </c>
      <c r="J51" s="7"/>
      <c r="K51" s="12"/>
      <c r="L51" s="7"/>
      <c r="M51" s="11">
        <v>0</v>
      </c>
      <c r="N51" s="7"/>
      <c r="O51" s="127">
        <f>VLOOKUP(A51,'درآمد ناشی از تغییر قیمت اوراق'!$A$7:$Q$41,17,0)</f>
        <v>-7622805890</v>
      </c>
      <c r="P51" s="127"/>
      <c r="Q51" s="127"/>
      <c r="R51" s="7"/>
      <c r="S51" s="56">
        <v>0</v>
      </c>
      <c r="T51" s="7"/>
      <c r="U51" s="58">
        <f t="shared" si="1"/>
        <v>-7622805890</v>
      </c>
      <c r="V51" s="7"/>
      <c r="W51" s="12"/>
    </row>
    <row r="52" spans="1:35" ht="30" customHeight="1">
      <c r="A52" s="28" t="s">
        <v>118</v>
      </c>
      <c r="B52" s="7"/>
      <c r="C52" s="11">
        <v>0</v>
      </c>
      <c r="D52" s="7"/>
      <c r="E52" s="56">
        <v>0</v>
      </c>
      <c r="F52" s="7"/>
      <c r="G52" s="56">
        <v>0</v>
      </c>
      <c r="H52" s="7"/>
      <c r="I52" s="56">
        <f t="shared" si="0"/>
        <v>0</v>
      </c>
      <c r="J52" s="7"/>
      <c r="K52" s="12"/>
      <c r="L52" s="7"/>
      <c r="M52" s="11">
        <v>0</v>
      </c>
      <c r="N52" s="7"/>
      <c r="O52" s="127">
        <v>0</v>
      </c>
      <c r="P52" s="127"/>
      <c r="Q52" s="127"/>
      <c r="R52" s="7"/>
      <c r="S52" s="56">
        <f>VLOOKUP(A52,'درآمد ناشی از فروش'!$A$7:$Q$53,17,0)</f>
        <v>1745769746</v>
      </c>
      <c r="T52" s="7"/>
      <c r="U52" s="58">
        <f t="shared" si="1"/>
        <v>1745769746</v>
      </c>
      <c r="V52" s="7"/>
      <c r="W52" s="12"/>
    </row>
    <row r="53" spans="1:35" ht="30" customHeight="1">
      <c r="A53" s="28" t="s">
        <v>128</v>
      </c>
      <c r="B53" s="7"/>
      <c r="C53" s="11">
        <v>0</v>
      </c>
      <c r="D53" s="7"/>
      <c r="E53" s="56">
        <f>VLOOKUP(A53,'درآمد ناشی از تغییر قیمت اوراق'!$A$11:$I$46,9,0)</f>
        <v>-4723205200</v>
      </c>
      <c r="F53" s="7"/>
      <c r="G53" s="56">
        <v>0</v>
      </c>
      <c r="H53" s="7"/>
      <c r="I53" s="56">
        <f t="shared" si="0"/>
        <v>-4723205200</v>
      </c>
      <c r="J53" s="7"/>
      <c r="K53" s="12"/>
      <c r="L53" s="7"/>
      <c r="M53" s="11">
        <v>0</v>
      </c>
      <c r="N53" s="7"/>
      <c r="O53" s="127">
        <f>VLOOKUP(A53,'درآمد ناشی از تغییر قیمت اوراق'!$A$7:$Q$41,17,0)</f>
        <v>-8746255560</v>
      </c>
      <c r="P53" s="127"/>
      <c r="Q53" s="127"/>
      <c r="R53" s="7"/>
      <c r="S53" s="56">
        <v>0</v>
      </c>
      <c r="T53" s="7"/>
      <c r="U53" s="58">
        <f t="shared" si="1"/>
        <v>-8746255560</v>
      </c>
      <c r="V53" s="7"/>
      <c r="W53" s="12"/>
    </row>
    <row r="54" spans="1:35" ht="30" customHeight="1">
      <c r="A54" s="28" t="s">
        <v>127</v>
      </c>
      <c r="B54" s="7"/>
      <c r="C54" s="11">
        <v>0</v>
      </c>
      <c r="D54" s="7"/>
      <c r="E54" s="56">
        <f>VLOOKUP(A54,'درآمد ناشی از تغییر قیمت اوراق'!$A$11:$I$46,9,0)</f>
        <v>-317843926</v>
      </c>
      <c r="F54" s="7"/>
      <c r="G54" s="56">
        <v>0</v>
      </c>
      <c r="H54" s="7"/>
      <c r="I54" s="56">
        <f t="shared" si="0"/>
        <v>-317843926</v>
      </c>
      <c r="J54" s="7"/>
      <c r="K54" s="12"/>
      <c r="L54" s="7"/>
      <c r="M54" s="11">
        <v>0</v>
      </c>
      <c r="N54" s="7"/>
      <c r="O54" s="127">
        <f>VLOOKUP(A54,'درآمد ناشی از تغییر قیمت اوراق'!$A$7:$Q$41,17,0)</f>
        <v>-556518584</v>
      </c>
      <c r="P54" s="127"/>
      <c r="Q54" s="127"/>
      <c r="R54" s="7"/>
      <c r="S54" s="56">
        <v>0</v>
      </c>
      <c r="T54" s="7"/>
      <c r="U54" s="58">
        <f t="shared" si="1"/>
        <v>-556518584</v>
      </c>
      <c r="V54" s="7"/>
      <c r="W54" s="12"/>
    </row>
    <row r="55" spans="1:35" ht="30" customHeight="1">
      <c r="A55" s="28" t="s">
        <v>145</v>
      </c>
      <c r="B55" s="7"/>
      <c r="C55" s="11">
        <v>0</v>
      </c>
      <c r="D55" s="7"/>
      <c r="E55" s="56">
        <f>VLOOKUP(A55,'درآمد ناشی از تغییر قیمت اوراق'!$A$11:$I$46,9,0)</f>
        <v>-16130161804</v>
      </c>
      <c r="F55" s="7"/>
      <c r="G55" s="56">
        <f>VLOOKUP(A55,'درآمد ناشی از فروش'!$A$7:$Q$54,9,0)</f>
        <v>891608160</v>
      </c>
      <c r="H55" s="7"/>
      <c r="I55" s="56">
        <f t="shared" si="0"/>
        <v>-15238553644</v>
      </c>
      <c r="J55" s="7"/>
      <c r="K55" s="12"/>
      <c r="L55" s="7"/>
      <c r="M55" s="11">
        <v>0</v>
      </c>
      <c r="N55" s="7"/>
      <c r="O55" s="127">
        <f>VLOOKUP(A55,'درآمد ناشی از تغییر قیمت اوراق'!$A$7:$Q$41,17,0)</f>
        <v>8827883731</v>
      </c>
      <c r="P55" s="127"/>
      <c r="Q55" s="127"/>
      <c r="R55" s="7"/>
      <c r="S55" s="56">
        <f>VLOOKUP(A55,'درآمد ناشی از فروش'!$A$7:$Q$53,17,0)</f>
        <v>9592008920</v>
      </c>
      <c r="T55" s="7"/>
      <c r="U55" s="58">
        <f t="shared" si="1"/>
        <v>18419892651</v>
      </c>
      <c r="V55" s="7"/>
      <c r="W55" s="12"/>
    </row>
    <row r="56" spans="1:35" ht="30" customHeight="1">
      <c r="A56" s="28" t="s">
        <v>146</v>
      </c>
      <c r="B56" s="7"/>
      <c r="C56" s="11">
        <v>0</v>
      </c>
      <c r="D56" s="7"/>
      <c r="E56" s="56">
        <f>VLOOKUP(A56,'درآمد ناشی از تغییر قیمت اوراق'!$A$11:$I$46,9,0)</f>
        <v>-7107611217</v>
      </c>
      <c r="F56" s="7"/>
      <c r="G56" s="56">
        <v>0</v>
      </c>
      <c r="H56" s="7"/>
      <c r="I56" s="56">
        <f t="shared" si="0"/>
        <v>-7107611217</v>
      </c>
      <c r="J56" s="7"/>
      <c r="K56" s="12"/>
      <c r="L56" s="7"/>
      <c r="M56" s="11">
        <v>0</v>
      </c>
      <c r="N56" s="7"/>
      <c r="O56" s="127">
        <f>VLOOKUP(A56,'درآمد ناشی از تغییر قیمت اوراق'!$A$7:$Q$41,17,0)</f>
        <v>1213996888</v>
      </c>
      <c r="P56" s="127"/>
      <c r="Q56" s="127"/>
      <c r="R56" s="7"/>
      <c r="S56" s="56">
        <f>VLOOKUP(A56,'درآمد ناشی از فروش'!$A$7:$Q$53,17,0)</f>
        <v>573848547</v>
      </c>
      <c r="T56" s="7"/>
      <c r="U56" s="58">
        <f t="shared" si="1"/>
        <v>1787845435</v>
      </c>
      <c r="V56" s="7"/>
      <c r="W56" s="12"/>
    </row>
    <row r="57" spans="1:35" ht="30" customHeight="1">
      <c r="A57" s="28" t="s">
        <v>147</v>
      </c>
      <c r="B57" s="7"/>
      <c r="C57" s="11">
        <v>0</v>
      </c>
      <c r="D57" s="7"/>
      <c r="E57" s="56">
        <f>VLOOKUP(A57,'درآمد ناشی از تغییر قیمت اوراق'!$A$11:$I$46,9,0)</f>
        <v>-736233889</v>
      </c>
      <c r="F57" s="7"/>
      <c r="G57" s="56">
        <v>0</v>
      </c>
      <c r="H57" s="7"/>
      <c r="I57" s="56">
        <f t="shared" si="0"/>
        <v>-736233889</v>
      </c>
      <c r="J57" s="7"/>
      <c r="K57" s="12"/>
      <c r="L57" s="7"/>
      <c r="M57" s="11">
        <v>0</v>
      </c>
      <c r="N57" s="7"/>
      <c r="O57" s="127">
        <f>VLOOKUP(A57,'درآمد ناشی از تغییر قیمت اوراق'!$A$7:$Q$41,17,0)</f>
        <v>141906988</v>
      </c>
      <c r="P57" s="127"/>
      <c r="Q57" s="127"/>
      <c r="R57" s="7"/>
      <c r="S57" s="56">
        <f>VLOOKUP(A57,'درآمد ناشی از فروش'!$A$7:$Q$53,17,0)</f>
        <v>4405347862</v>
      </c>
      <c r="T57" s="7"/>
      <c r="U57" s="58">
        <f t="shared" si="1"/>
        <v>4547254850</v>
      </c>
      <c r="V57" s="7"/>
      <c r="W57" s="12"/>
    </row>
    <row r="58" spans="1:35" ht="30" customHeight="1">
      <c r="A58" s="28" t="s">
        <v>148</v>
      </c>
      <c r="B58" s="7"/>
      <c r="C58" s="11">
        <v>0</v>
      </c>
      <c r="D58" s="7"/>
      <c r="E58" s="56">
        <f>VLOOKUP(A58,'درآمد ناشی از تغییر قیمت اوراق'!$A$11:$I$46,9,0)</f>
        <v>-171050507</v>
      </c>
      <c r="F58" s="7"/>
      <c r="G58" s="56">
        <v>0</v>
      </c>
      <c r="H58" s="7"/>
      <c r="I58" s="56">
        <f t="shared" si="0"/>
        <v>-171050507</v>
      </c>
      <c r="J58" s="7"/>
      <c r="K58" s="12"/>
      <c r="L58" s="7"/>
      <c r="M58" s="11">
        <v>0</v>
      </c>
      <c r="N58" s="7"/>
      <c r="O58" s="127">
        <f>VLOOKUP(A58,'درآمد ناشی از تغییر قیمت اوراق'!$A$7:$Q$41,17,0)</f>
        <v>221808490</v>
      </c>
      <c r="P58" s="127"/>
      <c r="Q58" s="127"/>
      <c r="R58" s="7"/>
      <c r="S58" s="56">
        <v>0</v>
      </c>
      <c r="T58" s="7"/>
      <c r="U58" s="58">
        <f t="shared" si="1"/>
        <v>221808490</v>
      </c>
      <c r="V58" s="7"/>
      <c r="W58" s="12"/>
    </row>
    <row r="59" spans="1:35" ht="30" customHeight="1">
      <c r="A59" s="28" t="s">
        <v>154</v>
      </c>
      <c r="B59" s="7"/>
      <c r="C59" s="11">
        <v>0</v>
      </c>
      <c r="D59" s="7"/>
      <c r="E59" s="56">
        <f>VLOOKUP(A59,'درآمد ناشی از تغییر قیمت اوراق'!$A$11:$I$46,9,0)</f>
        <v>-1221088418</v>
      </c>
      <c r="F59" s="7"/>
      <c r="G59" s="56">
        <v>0</v>
      </c>
      <c r="H59" s="7"/>
      <c r="I59" s="56">
        <f t="shared" si="0"/>
        <v>-1221088418</v>
      </c>
      <c r="J59" s="7"/>
      <c r="K59" s="12"/>
      <c r="L59" s="7"/>
      <c r="M59" s="11">
        <v>0</v>
      </c>
      <c r="N59" s="7"/>
      <c r="O59" s="127">
        <f>VLOOKUP(A59,'درآمد ناشی از تغییر قیمت اوراق'!$A$7:$Q$41,17,0)</f>
        <v>-199540358</v>
      </c>
      <c r="P59" s="127"/>
      <c r="Q59" s="127"/>
      <c r="R59" s="7"/>
      <c r="S59" s="56">
        <v>0</v>
      </c>
      <c r="T59" s="7"/>
      <c r="U59" s="58">
        <f t="shared" si="1"/>
        <v>-199540358</v>
      </c>
      <c r="V59" s="7"/>
      <c r="W59" s="12"/>
    </row>
    <row r="60" spans="1:35" ht="30" customHeight="1">
      <c r="A60" s="28" t="s">
        <v>149</v>
      </c>
      <c r="B60" s="7"/>
      <c r="C60" s="11">
        <v>0</v>
      </c>
      <c r="D60" s="7"/>
      <c r="E60" s="56">
        <f>VLOOKUP(A60,'درآمد ناشی از تغییر قیمت اوراق'!$A$11:$I$46,9,0)</f>
        <v>-2083546192</v>
      </c>
      <c r="F60" s="7"/>
      <c r="G60" s="56">
        <v>0</v>
      </c>
      <c r="H60" s="7"/>
      <c r="I60" s="56">
        <f>C60+E60+G60</f>
        <v>-2083546192</v>
      </c>
      <c r="J60" s="7"/>
      <c r="K60" s="12"/>
      <c r="L60" s="7"/>
      <c r="M60" s="11">
        <v>0</v>
      </c>
      <c r="N60" s="7"/>
      <c r="O60" s="127">
        <f>VLOOKUP(A60,'درآمد ناشی از تغییر قیمت اوراق'!$A$7:$Q$41,17,0)</f>
        <v>7227132220</v>
      </c>
      <c r="P60" s="127"/>
      <c r="Q60" s="127"/>
      <c r="R60" s="7"/>
      <c r="S60" s="56">
        <v>0</v>
      </c>
      <c r="T60" s="7"/>
      <c r="U60" s="58">
        <f>M60+O60+S60</f>
        <v>7227132220</v>
      </c>
      <c r="V60" s="7"/>
      <c r="W60" s="12"/>
    </row>
    <row r="61" spans="1:35" ht="30" customHeight="1">
      <c r="A61" s="28" t="s">
        <v>158</v>
      </c>
      <c r="B61" s="7"/>
      <c r="C61" s="11">
        <v>0</v>
      </c>
      <c r="D61" s="7"/>
      <c r="E61" s="56">
        <f>VLOOKUP(A61,'درآمد ناشی از تغییر قیمت اوراق'!$A$11:$I$46,9,0)</f>
        <v>-202204793</v>
      </c>
      <c r="F61" s="7"/>
      <c r="G61" s="56">
        <v>0</v>
      </c>
      <c r="H61" s="7"/>
      <c r="I61" s="56">
        <f>C61+E61+G61</f>
        <v>-202204793</v>
      </c>
      <c r="J61" s="7"/>
      <c r="K61" s="12"/>
      <c r="L61" s="7"/>
      <c r="M61" s="11">
        <v>0</v>
      </c>
      <c r="N61" s="7"/>
      <c r="O61" s="127">
        <f>VLOOKUP(A61,'درآمد ناشی از تغییر قیمت اوراق'!$A$7:$Q$41,17,0)</f>
        <v>-202204793</v>
      </c>
      <c r="P61" s="127"/>
      <c r="Q61" s="127"/>
      <c r="R61" s="7"/>
      <c r="S61" s="56">
        <v>0</v>
      </c>
      <c r="T61" s="7"/>
      <c r="U61" s="58">
        <f>M61+O61+S61</f>
        <v>-202204793</v>
      </c>
      <c r="V61" s="7"/>
      <c r="W61" s="12"/>
    </row>
    <row r="62" spans="1:35" s="104" customFormat="1" ht="30" customHeight="1" thickBot="1">
      <c r="A62" s="20" t="s">
        <v>43</v>
      </c>
      <c r="B62" s="20"/>
      <c r="C62" s="22">
        <f>SUM(C8:C61)</f>
        <v>0</v>
      </c>
      <c r="D62" s="20"/>
      <c r="E62" s="102">
        <f>SUM(E8:E61)-4</f>
        <v>-558088198577</v>
      </c>
      <c r="F62" s="20"/>
      <c r="G62" s="102">
        <f>SUM(G8:G61)</f>
        <v>79632328698</v>
      </c>
      <c r="H62" s="20"/>
      <c r="I62" s="86">
        <f>E62+G62+C62</f>
        <v>-478455869879</v>
      </c>
      <c r="J62" s="20"/>
      <c r="K62" s="23"/>
      <c r="L62" s="20"/>
      <c r="M62" s="22">
        <f>SUM(M8:M61)</f>
        <v>107916832725</v>
      </c>
      <c r="N62" s="20"/>
      <c r="O62" s="126">
        <f>SUM(O8:O61)</f>
        <v>692172952628</v>
      </c>
      <c r="P62" s="126"/>
      <c r="Q62" s="126"/>
      <c r="R62" s="20"/>
      <c r="S62" s="102">
        <f>SUM(S8:S61)</f>
        <v>84129501839</v>
      </c>
      <c r="T62" s="20"/>
      <c r="U62" s="103">
        <f>SUM(U8:U61)</f>
        <v>884219287192</v>
      </c>
      <c r="V62" s="20"/>
      <c r="W62" s="23"/>
      <c r="Y62" s="7"/>
      <c r="Z62" s="7"/>
      <c r="AA62" s="7"/>
      <c r="AB62" s="52"/>
      <c r="AC62" s="7"/>
      <c r="AD62" s="7"/>
      <c r="AE62" s="7"/>
      <c r="AF62" s="7"/>
      <c r="AG62" s="7"/>
      <c r="AH62" s="7"/>
      <c r="AI62" s="52"/>
    </row>
    <row r="63" spans="1:35" ht="30" customHeight="1" thickTop="1">
      <c r="E63" s="85"/>
    </row>
    <row r="64" spans="1:35" ht="30" customHeight="1">
      <c r="M64" s="30"/>
      <c r="Q64" s="85"/>
    </row>
    <row r="65" spans="3:13" ht="30" customHeight="1">
      <c r="C65" s="30"/>
      <c r="E65" s="85"/>
      <c r="M65" s="30"/>
    </row>
    <row r="66" spans="3:13" ht="30" customHeight="1">
      <c r="C66" s="30"/>
      <c r="M66" s="30"/>
    </row>
    <row r="67" spans="3:13" ht="30" customHeight="1">
      <c r="G67" s="52"/>
    </row>
    <row r="68" spans="3:13" ht="30" customHeight="1">
      <c r="C68" s="62"/>
    </row>
    <row r="69" spans="3:13" ht="30" customHeight="1">
      <c r="C69" s="106"/>
    </row>
  </sheetData>
  <mergeCells count="78">
    <mergeCell ref="O47:Q47"/>
    <mergeCell ref="A4:X4"/>
    <mergeCell ref="C6:C7"/>
    <mergeCell ref="E6:E7"/>
    <mergeCell ref="S6:S7"/>
    <mergeCell ref="O6:Q7"/>
    <mergeCell ref="M6:M7"/>
    <mergeCell ref="G6:G7"/>
    <mergeCell ref="C5:K5"/>
    <mergeCell ref="M5:W5"/>
    <mergeCell ref="O10:Q10"/>
    <mergeCell ref="O11:Q11"/>
    <mergeCell ref="O12:Q12"/>
    <mergeCell ref="O13:Q13"/>
    <mergeCell ref="O14:Q14"/>
    <mergeCell ref="O15:Q15"/>
    <mergeCell ref="A1:W1"/>
    <mergeCell ref="A2:W2"/>
    <mergeCell ref="A3:W3"/>
    <mergeCell ref="AJ25:AK25"/>
    <mergeCell ref="A6:A7"/>
    <mergeCell ref="Y1:AI1"/>
    <mergeCell ref="Y2:AI2"/>
    <mergeCell ref="Y3:AI3"/>
    <mergeCell ref="Y4:AI4"/>
    <mergeCell ref="Y5:Y6"/>
    <mergeCell ref="AA5:AB5"/>
    <mergeCell ref="AD5:AI5"/>
    <mergeCell ref="I6:K6"/>
    <mergeCell ref="U6:W6"/>
    <mergeCell ref="O8:Q8"/>
    <mergeCell ref="O9:Q9"/>
    <mergeCell ref="O16:Q16"/>
    <mergeCell ref="O17:Q17"/>
    <mergeCell ref="O18:Q18"/>
    <mergeCell ref="O19:Q19"/>
    <mergeCell ref="O20:Q20"/>
    <mergeCell ref="O21:Q21"/>
    <mergeCell ref="O22:Q22"/>
    <mergeCell ref="O23:Q23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O33:Q33"/>
    <mergeCell ref="O34:Q34"/>
    <mergeCell ref="O35:Q35"/>
    <mergeCell ref="O36:Q36"/>
    <mergeCell ref="O37:Q37"/>
    <mergeCell ref="O43:Q43"/>
    <mergeCell ref="O44:Q44"/>
    <mergeCell ref="O45:Q45"/>
    <mergeCell ref="O46:Q46"/>
    <mergeCell ref="O38:Q38"/>
    <mergeCell ref="O39:Q39"/>
    <mergeCell ref="O40:Q40"/>
    <mergeCell ref="O41:Q41"/>
    <mergeCell ref="O42:Q42"/>
    <mergeCell ref="O48:Q48"/>
    <mergeCell ref="O49:Q49"/>
    <mergeCell ref="O50:Q50"/>
    <mergeCell ref="O51:Q51"/>
    <mergeCell ref="O52:Q52"/>
    <mergeCell ref="O62:Q62"/>
    <mergeCell ref="O58:Q58"/>
    <mergeCell ref="O60:Q60"/>
    <mergeCell ref="O53:Q53"/>
    <mergeCell ref="O54:Q54"/>
    <mergeCell ref="O55:Q55"/>
    <mergeCell ref="O56:Q56"/>
    <mergeCell ref="O57:Q57"/>
    <mergeCell ref="O59:Q59"/>
    <mergeCell ref="O61:Q61"/>
  </mergeCells>
  <pageMargins left="0.39" right="0.39" top="0.39" bottom="0.39" header="0" footer="0"/>
  <pageSetup scale="5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J10"/>
  <sheetViews>
    <sheetView rightToLeft="1" view="pageBreakPreview" zoomScaleNormal="100" zoomScaleSheetLayoutView="100" workbookViewId="0">
      <selection activeCell="L1" sqref="L1"/>
    </sheetView>
  </sheetViews>
  <sheetFormatPr defaultRowHeight="30" customHeight="1"/>
  <cols>
    <col min="1" max="1" width="5.140625" style="17" customWidth="1"/>
    <col min="2" max="2" width="34.140625" style="17" customWidth="1"/>
    <col min="3" max="3" width="1.28515625" style="17" customWidth="1"/>
    <col min="4" max="4" width="19.42578125" style="17" customWidth="1"/>
    <col min="5" max="5" width="1.28515625" style="17" customWidth="1"/>
    <col min="6" max="6" width="13.5703125" style="17" customWidth="1"/>
    <col min="7" max="7" width="1.28515625" style="17" customWidth="1"/>
    <col min="8" max="8" width="19.42578125" style="17" customWidth="1"/>
    <col min="9" max="9" width="1.28515625" style="17" customWidth="1"/>
    <col min="10" max="10" width="15.7109375" style="17" customWidth="1"/>
    <col min="11" max="11" width="0.28515625" style="17" customWidth="1"/>
    <col min="12" max="16384" width="9.140625" style="17"/>
  </cols>
  <sheetData>
    <row r="1" spans="1:10" ht="30" customHeight="1">
      <c r="A1" s="111" t="s">
        <v>109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30" customHeight="1">
      <c r="A2" s="111" t="s">
        <v>112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30" customHeight="1">
      <c r="A3" s="111" t="s">
        <v>155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30" customHeight="1">
      <c r="A4" s="16" t="s">
        <v>78</v>
      </c>
      <c r="B4" s="122" t="s">
        <v>79</v>
      </c>
      <c r="C4" s="122"/>
      <c r="D4" s="122"/>
      <c r="E4" s="122"/>
      <c r="F4" s="122"/>
      <c r="G4" s="122"/>
      <c r="H4" s="122"/>
      <c r="I4" s="122"/>
      <c r="J4" s="122"/>
    </row>
    <row r="5" spans="1:10" ht="30" customHeight="1">
      <c r="D5" s="113" t="s">
        <v>71</v>
      </c>
      <c r="E5" s="113"/>
      <c r="F5" s="113"/>
      <c r="H5" s="113" t="s">
        <v>72</v>
      </c>
      <c r="I5" s="113"/>
      <c r="J5" s="113"/>
    </row>
    <row r="6" spans="1:10" ht="42.75" customHeight="1">
      <c r="A6" s="113" t="s">
        <v>80</v>
      </c>
      <c r="B6" s="113"/>
      <c r="D6" s="6" t="s">
        <v>81</v>
      </c>
      <c r="E6" s="18"/>
      <c r="F6" s="6" t="s">
        <v>82</v>
      </c>
      <c r="H6" s="6" t="s">
        <v>81</v>
      </c>
      <c r="I6" s="18"/>
      <c r="J6" s="6" t="s">
        <v>82</v>
      </c>
    </row>
    <row r="7" spans="1:10" ht="30" customHeight="1">
      <c r="A7" s="123" t="s">
        <v>51</v>
      </c>
      <c r="B7" s="123"/>
      <c r="C7" s="7"/>
      <c r="D7" s="9">
        <v>20547</v>
      </c>
      <c r="E7" s="7"/>
      <c r="F7" s="10"/>
      <c r="G7" s="7"/>
      <c r="H7" s="9">
        <v>1701888</v>
      </c>
      <c r="J7" s="3"/>
    </row>
    <row r="8" spans="1:10" ht="30" customHeight="1">
      <c r="A8" s="116" t="s">
        <v>52</v>
      </c>
      <c r="B8" s="116"/>
      <c r="C8" s="7"/>
      <c r="D8" s="11">
        <v>16057</v>
      </c>
      <c r="E8" s="7"/>
      <c r="F8" s="12"/>
      <c r="G8" s="7"/>
      <c r="H8" s="11">
        <v>190612880</v>
      </c>
      <c r="J8" s="4"/>
    </row>
    <row r="9" spans="1:10" ht="30" customHeight="1">
      <c r="A9" s="116" t="s">
        <v>53</v>
      </c>
      <c r="B9" s="116"/>
      <c r="C9" s="7"/>
      <c r="D9" s="13">
        <v>61202</v>
      </c>
      <c r="E9" s="7"/>
      <c r="F9" s="14"/>
      <c r="G9" s="7"/>
      <c r="H9" s="13">
        <v>559152</v>
      </c>
      <c r="J9" s="5"/>
    </row>
    <row r="10" spans="1:10" s="26" customFormat="1" ht="30" customHeight="1">
      <c r="A10" s="111" t="s">
        <v>43</v>
      </c>
      <c r="B10" s="111"/>
      <c r="C10" s="20"/>
      <c r="D10" s="22">
        <f>SUM(D7:D9)</f>
        <v>97806</v>
      </c>
      <c r="E10" s="20"/>
      <c r="F10" s="22"/>
      <c r="G10" s="20"/>
      <c r="H10" s="22">
        <f>SUM(H7:H9)</f>
        <v>192873920</v>
      </c>
      <c r="J10" s="27"/>
    </row>
  </sheetData>
  <mergeCells count="11">
    <mergeCell ref="A1:J1"/>
    <mergeCell ref="A2:J2"/>
    <mergeCell ref="A3:J3"/>
    <mergeCell ref="B4:J4"/>
    <mergeCell ref="D5:F5"/>
    <mergeCell ref="H5:J5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  <pageSetUpPr fitToPage="1"/>
  </sheetPr>
  <dimension ref="A1:F11"/>
  <sheetViews>
    <sheetView rightToLeft="1" view="pageBreakPreview" zoomScaleNormal="100" zoomScaleSheetLayoutView="100" workbookViewId="0">
      <selection activeCell="H1" sqref="H1"/>
    </sheetView>
  </sheetViews>
  <sheetFormatPr defaultRowHeight="30" customHeight="1"/>
  <cols>
    <col min="1" max="1" width="5.140625" style="7" customWidth="1"/>
    <col min="2" max="2" width="41.5703125" style="7" customWidth="1"/>
    <col min="3" max="3" width="1.28515625" style="7" customWidth="1"/>
    <col min="4" max="4" width="19.42578125" style="7" customWidth="1"/>
    <col min="5" max="5" width="1.28515625" style="7" customWidth="1"/>
    <col min="6" max="6" width="19.42578125" style="7" customWidth="1"/>
    <col min="7" max="7" width="0.28515625" style="17" customWidth="1"/>
    <col min="8" max="16384" width="9.140625" style="17"/>
  </cols>
  <sheetData>
    <row r="1" spans="1:6" ht="30" customHeight="1">
      <c r="A1" s="111" t="s">
        <v>114</v>
      </c>
      <c r="B1" s="111"/>
      <c r="C1" s="111"/>
      <c r="D1" s="111"/>
      <c r="E1" s="111"/>
      <c r="F1" s="111"/>
    </row>
    <row r="2" spans="1:6" ht="30" customHeight="1">
      <c r="A2" s="111" t="s">
        <v>113</v>
      </c>
      <c r="B2" s="111"/>
      <c r="C2" s="111"/>
      <c r="D2" s="111"/>
      <c r="E2" s="111"/>
      <c r="F2" s="111"/>
    </row>
    <row r="3" spans="1:6" ht="30" customHeight="1">
      <c r="A3" s="111" t="s">
        <v>155</v>
      </c>
      <c r="B3" s="111"/>
      <c r="C3" s="111"/>
      <c r="D3" s="111"/>
      <c r="E3" s="111"/>
      <c r="F3" s="111"/>
    </row>
    <row r="5" spans="1:6" s="25" customFormat="1" ht="30" customHeight="1">
      <c r="A5" s="16" t="s">
        <v>83</v>
      </c>
      <c r="B5" s="122" t="s">
        <v>69</v>
      </c>
      <c r="C5" s="122"/>
      <c r="D5" s="122"/>
      <c r="E5" s="122"/>
      <c r="F5" s="122"/>
    </row>
    <row r="6" spans="1:6" ht="30" customHeight="1">
      <c r="D6" s="1" t="s">
        <v>71</v>
      </c>
      <c r="F6" s="1" t="s">
        <v>156</v>
      </c>
    </row>
    <row r="7" spans="1:6" ht="30" customHeight="1">
      <c r="A7" s="113" t="s">
        <v>69</v>
      </c>
      <c r="B7" s="113"/>
      <c r="D7" s="2" t="s">
        <v>48</v>
      </c>
      <c r="F7" s="2" t="s">
        <v>48</v>
      </c>
    </row>
    <row r="8" spans="1:6" ht="30" customHeight="1">
      <c r="A8" s="112" t="s">
        <v>69</v>
      </c>
      <c r="B8" s="112"/>
      <c r="D8" s="11">
        <v>0</v>
      </c>
      <c r="F8" s="9">
        <v>6769849428</v>
      </c>
    </row>
    <row r="9" spans="1:6" ht="30" customHeight="1">
      <c r="A9" s="109" t="s">
        <v>84</v>
      </c>
      <c r="B9" s="109"/>
      <c r="D9" s="11">
        <v>0</v>
      </c>
      <c r="F9" s="11">
        <v>0</v>
      </c>
    </row>
    <row r="10" spans="1:6" ht="30" customHeight="1">
      <c r="A10" s="109" t="s">
        <v>85</v>
      </c>
      <c r="B10" s="109"/>
      <c r="D10" s="13">
        <v>52676302</v>
      </c>
      <c r="F10" s="13">
        <v>115946268</v>
      </c>
    </row>
    <row r="11" spans="1:6" ht="30" customHeight="1">
      <c r="A11" s="111" t="s">
        <v>43</v>
      </c>
      <c r="B11" s="111"/>
      <c r="D11" s="15">
        <f>D8+D9+D10</f>
        <v>52676302</v>
      </c>
      <c r="F11" s="15">
        <f>SUM(F8:F10)</f>
        <v>6885795696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59999389629810485"/>
    <pageSetUpPr fitToPage="1"/>
  </sheetPr>
  <dimension ref="A1:S32"/>
  <sheetViews>
    <sheetView rightToLeft="1" view="pageBreakPreview" zoomScale="90" zoomScaleNormal="100" zoomScaleSheetLayoutView="90" workbookViewId="0">
      <selection activeCell="U1" sqref="U1"/>
    </sheetView>
  </sheetViews>
  <sheetFormatPr defaultRowHeight="30" customHeight="1"/>
  <cols>
    <col min="1" max="1" width="39" style="7" customWidth="1"/>
    <col min="2" max="2" width="1.28515625" style="7" customWidth="1"/>
    <col min="3" max="3" width="16.85546875" style="7" customWidth="1"/>
    <col min="4" max="4" width="1.28515625" style="7" customWidth="1"/>
    <col min="5" max="5" width="20.7109375" style="7" customWidth="1"/>
    <col min="6" max="6" width="1.28515625" style="7" customWidth="1"/>
    <col min="7" max="7" width="15.5703125" style="7" customWidth="1"/>
    <col min="8" max="8" width="1.28515625" style="7" customWidth="1"/>
    <col min="9" max="9" width="17.7109375" style="7" customWidth="1"/>
    <col min="10" max="10" width="1.28515625" style="7" customWidth="1"/>
    <col min="11" max="11" width="16.7109375" style="7" customWidth="1"/>
    <col min="12" max="12" width="1.28515625" style="7" customWidth="1"/>
    <col min="13" max="13" width="15.5703125" style="7" customWidth="1"/>
    <col min="14" max="14" width="1.28515625" style="7" customWidth="1"/>
    <col min="15" max="15" width="18.7109375" style="7" customWidth="1"/>
    <col min="16" max="16" width="1.28515625" style="7" customWidth="1"/>
    <col min="17" max="17" width="19.7109375" style="52" customWidth="1"/>
    <col min="18" max="18" width="1.28515625" style="7" customWidth="1"/>
    <col min="19" max="19" width="18.5703125" style="7" customWidth="1"/>
    <col min="20" max="20" width="0.28515625" style="17" customWidth="1"/>
    <col min="21" max="16384" width="9.140625" style="17"/>
  </cols>
  <sheetData>
    <row r="1" spans="1:19" ht="30" customHeight="1">
      <c r="A1" s="111" t="s">
        <v>109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ht="30" customHeight="1">
      <c r="A2" s="111" t="s">
        <v>112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30" customHeight="1">
      <c r="A3" s="111" t="s">
        <v>155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19" ht="30" customHeight="1">
      <c r="A4" s="122" t="s">
        <v>73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1:19" ht="30" customHeight="1">
      <c r="A5" s="113" t="s">
        <v>44</v>
      </c>
      <c r="C5" s="113" t="s">
        <v>86</v>
      </c>
      <c r="D5" s="113"/>
      <c r="E5" s="113"/>
      <c r="F5" s="113"/>
      <c r="G5" s="113"/>
      <c r="I5" s="113" t="s">
        <v>71</v>
      </c>
      <c r="J5" s="113"/>
      <c r="K5" s="113"/>
      <c r="L5" s="113"/>
      <c r="M5" s="113"/>
      <c r="O5" s="113" t="s">
        <v>72</v>
      </c>
      <c r="P5" s="113"/>
      <c r="Q5" s="113"/>
      <c r="R5" s="113"/>
      <c r="S5" s="113"/>
    </row>
    <row r="6" spans="1:19" ht="41.25" customHeight="1">
      <c r="A6" s="113"/>
      <c r="C6" s="87" t="s">
        <v>87</v>
      </c>
      <c r="D6" s="88"/>
      <c r="E6" s="87" t="s">
        <v>88</v>
      </c>
      <c r="F6" s="88"/>
      <c r="G6" s="87" t="s">
        <v>89</v>
      </c>
      <c r="I6" s="6" t="s">
        <v>90</v>
      </c>
      <c r="J6" s="8"/>
      <c r="K6" s="6" t="s">
        <v>91</v>
      </c>
      <c r="L6" s="8"/>
      <c r="M6" s="6" t="s">
        <v>92</v>
      </c>
      <c r="O6" s="6" t="s">
        <v>90</v>
      </c>
      <c r="P6" s="8"/>
      <c r="Q6" s="84" t="s">
        <v>91</v>
      </c>
      <c r="R6" s="8"/>
      <c r="S6" s="89" t="s">
        <v>92</v>
      </c>
    </row>
    <row r="7" spans="1:19" ht="30" customHeight="1">
      <c r="A7" s="78" t="s">
        <v>37</v>
      </c>
      <c r="C7" s="88" t="s">
        <v>93</v>
      </c>
      <c r="D7" s="19"/>
      <c r="E7" s="90">
        <v>30514927</v>
      </c>
      <c r="F7" s="19"/>
      <c r="G7" s="90">
        <v>40</v>
      </c>
      <c r="I7" s="9">
        <v>0</v>
      </c>
      <c r="K7" s="9">
        <v>0</v>
      </c>
      <c r="M7" s="9">
        <v>0</v>
      </c>
      <c r="O7" s="9">
        <v>1220597080</v>
      </c>
      <c r="Q7" s="51">
        <v>0</v>
      </c>
      <c r="S7" s="11">
        <f>O7+Q7</f>
        <v>1220597080</v>
      </c>
    </row>
    <row r="8" spans="1:19" ht="30" customHeight="1">
      <c r="A8" s="28" t="s">
        <v>135</v>
      </c>
      <c r="C8" s="19" t="s">
        <v>5</v>
      </c>
      <c r="D8" s="19"/>
      <c r="E8" s="91">
        <v>60439089</v>
      </c>
      <c r="F8" s="19"/>
      <c r="G8" s="91">
        <v>360</v>
      </c>
      <c r="I8" s="11">
        <v>0</v>
      </c>
      <c r="K8" s="11">
        <v>0</v>
      </c>
      <c r="M8" s="11">
        <v>0</v>
      </c>
      <c r="O8" s="11">
        <v>21758072040</v>
      </c>
      <c r="Q8" s="52">
        <v>0</v>
      </c>
      <c r="S8" s="11">
        <f>O8+Q8</f>
        <v>21758072040</v>
      </c>
    </row>
    <row r="9" spans="1:19" ht="30" customHeight="1">
      <c r="A9" s="28" t="s">
        <v>141</v>
      </c>
      <c r="C9" s="19" t="s">
        <v>94</v>
      </c>
      <c r="D9" s="19"/>
      <c r="E9" s="91">
        <v>38815909</v>
      </c>
      <c r="F9" s="19"/>
      <c r="G9" s="91">
        <v>350</v>
      </c>
      <c r="I9" s="11">
        <v>0</v>
      </c>
      <c r="K9" s="11">
        <v>0</v>
      </c>
      <c r="M9" s="11">
        <v>0</v>
      </c>
      <c r="O9" s="11">
        <v>13585568150</v>
      </c>
      <c r="Q9" s="52">
        <v>0</v>
      </c>
      <c r="S9" s="11">
        <f t="shared" ref="S9:S27" si="0">O9+Q9</f>
        <v>13585568150</v>
      </c>
    </row>
    <row r="10" spans="1:19" ht="30" customHeight="1">
      <c r="A10" s="28" t="s">
        <v>132</v>
      </c>
      <c r="C10" s="19" t="s">
        <v>133</v>
      </c>
      <c r="D10" s="19"/>
      <c r="E10" s="91">
        <v>20600253</v>
      </c>
      <c r="F10" s="19"/>
      <c r="G10" s="91">
        <v>50</v>
      </c>
      <c r="I10" s="11">
        <v>0</v>
      </c>
      <c r="K10" s="52">
        <v>0</v>
      </c>
      <c r="M10" s="11">
        <v>0</v>
      </c>
      <c r="O10" s="11">
        <v>1030012650</v>
      </c>
      <c r="Q10" s="52">
        <v>-124201652</v>
      </c>
      <c r="S10" s="11">
        <f t="shared" si="0"/>
        <v>905810998</v>
      </c>
    </row>
    <row r="11" spans="1:19" ht="30" customHeight="1">
      <c r="A11" s="28" t="s">
        <v>142</v>
      </c>
      <c r="C11" s="19" t="s">
        <v>5</v>
      </c>
      <c r="D11" s="19"/>
      <c r="E11" s="91">
        <v>11750844</v>
      </c>
      <c r="F11" s="19"/>
      <c r="G11" s="91">
        <v>1000</v>
      </c>
      <c r="I11" s="11">
        <v>0</v>
      </c>
      <c r="K11" s="11">
        <v>0</v>
      </c>
      <c r="M11" s="11">
        <v>0</v>
      </c>
      <c r="O11" s="11">
        <v>11750844000</v>
      </c>
      <c r="Q11" s="52">
        <v>0</v>
      </c>
      <c r="S11" s="11">
        <f t="shared" si="0"/>
        <v>11750844000</v>
      </c>
    </row>
    <row r="12" spans="1:19" ht="30" customHeight="1">
      <c r="A12" s="28" t="s">
        <v>17</v>
      </c>
      <c r="C12" s="19" t="s">
        <v>5</v>
      </c>
      <c r="D12" s="19"/>
      <c r="E12" s="91">
        <v>296399961</v>
      </c>
      <c r="F12" s="19"/>
      <c r="G12" s="91">
        <v>11</v>
      </c>
      <c r="I12" s="11">
        <v>0</v>
      </c>
      <c r="K12" s="11">
        <v>0</v>
      </c>
      <c r="M12" s="11">
        <v>0</v>
      </c>
      <c r="O12" s="11">
        <v>3260399571</v>
      </c>
      <c r="Q12" s="52">
        <v>0</v>
      </c>
      <c r="S12" s="11">
        <f t="shared" si="0"/>
        <v>3260399571</v>
      </c>
    </row>
    <row r="13" spans="1:19" ht="30" customHeight="1">
      <c r="A13" s="28" t="s">
        <v>36</v>
      </c>
      <c r="C13" s="19" t="s">
        <v>5</v>
      </c>
      <c r="D13" s="19"/>
      <c r="E13" s="91">
        <v>5329540</v>
      </c>
      <c r="F13" s="19"/>
      <c r="G13" s="91">
        <v>350</v>
      </c>
      <c r="I13" s="11">
        <v>0</v>
      </c>
      <c r="K13" s="11">
        <v>0</v>
      </c>
      <c r="M13" s="11">
        <v>0</v>
      </c>
      <c r="O13" s="11">
        <v>1865339000</v>
      </c>
      <c r="Q13" s="52">
        <v>0</v>
      </c>
      <c r="S13" s="11">
        <f t="shared" si="0"/>
        <v>1865339000</v>
      </c>
    </row>
    <row r="14" spans="1:19" ht="30" customHeight="1">
      <c r="A14" s="28" t="s">
        <v>16</v>
      </c>
      <c r="C14" s="19" t="s">
        <v>95</v>
      </c>
      <c r="D14" s="19"/>
      <c r="E14" s="91">
        <v>8099986</v>
      </c>
      <c r="F14" s="19"/>
      <c r="G14" s="91">
        <v>650</v>
      </c>
      <c r="I14" s="11">
        <v>0</v>
      </c>
      <c r="K14" s="11">
        <v>0</v>
      </c>
      <c r="M14" s="11">
        <v>0</v>
      </c>
      <c r="O14" s="11">
        <v>5264990900</v>
      </c>
      <c r="Q14" s="52">
        <v>0</v>
      </c>
      <c r="S14" s="11">
        <f t="shared" si="0"/>
        <v>5264990900</v>
      </c>
    </row>
    <row r="15" spans="1:19" ht="30" customHeight="1">
      <c r="A15" s="28" t="s">
        <v>19</v>
      </c>
      <c r="C15" s="19" t="s">
        <v>95</v>
      </c>
      <c r="D15" s="19"/>
      <c r="E15" s="91">
        <v>3382441</v>
      </c>
      <c r="F15" s="19"/>
      <c r="G15" s="91">
        <v>2280</v>
      </c>
      <c r="I15" s="11">
        <v>0</v>
      </c>
      <c r="K15" s="11">
        <v>0</v>
      </c>
      <c r="M15" s="11">
        <v>0</v>
      </c>
      <c r="O15" s="11">
        <v>7711965480</v>
      </c>
      <c r="Q15" s="52">
        <v>0</v>
      </c>
      <c r="S15" s="11">
        <f>O15+Q15</f>
        <v>7711965480</v>
      </c>
    </row>
    <row r="16" spans="1:19" ht="30" customHeight="1">
      <c r="A16" s="28" t="s">
        <v>41</v>
      </c>
      <c r="C16" s="19" t="s">
        <v>96</v>
      </c>
      <c r="D16" s="19"/>
      <c r="E16" s="91">
        <v>13500000</v>
      </c>
      <c r="F16" s="19"/>
      <c r="G16" s="91">
        <v>27</v>
      </c>
      <c r="I16" s="11">
        <v>0</v>
      </c>
      <c r="K16" s="11">
        <v>0</v>
      </c>
      <c r="M16" s="11">
        <v>0</v>
      </c>
      <c r="O16" s="11">
        <v>364500000</v>
      </c>
      <c r="Q16" s="52">
        <v>0</v>
      </c>
      <c r="S16" s="11">
        <f t="shared" si="0"/>
        <v>364500000</v>
      </c>
    </row>
    <row r="17" spans="1:19" ht="30" customHeight="1">
      <c r="A17" s="28" t="s">
        <v>34</v>
      </c>
      <c r="C17" s="19" t="s">
        <v>97</v>
      </c>
      <c r="D17" s="19"/>
      <c r="E17" s="91">
        <v>300000</v>
      </c>
      <c r="F17" s="19"/>
      <c r="G17" s="91">
        <v>1160</v>
      </c>
      <c r="I17" s="11">
        <v>0</v>
      </c>
      <c r="K17" s="11">
        <v>0</v>
      </c>
      <c r="M17" s="11">
        <v>0</v>
      </c>
      <c r="O17" s="11">
        <v>348000000</v>
      </c>
      <c r="Q17" s="52">
        <v>0</v>
      </c>
      <c r="S17" s="11">
        <f t="shared" si="0"/>
        <v>348000000</v>
      </c>
    </row>
    <row r="18" spans="1:19" ht="30" customHeight="1">
      <c r="A18" s="28" t="s">
        <v>39</v>
      </c>
      <c r="C18" s="19" t="s">
        <v>95</v>
      </c>
      <c r="D18" s="19"/>
      <c r="E18" s="91">
        <v>8000000</v>
      </c>
      <c r="F18" s="19"/>
      <c r="G18" s="91">
        <v>380</v>
      </c>
      <c r="I18" s="11">
        <v>0</v>
      </c>
      <c r="K18" s="11">
        <v>0</v>
      </c>
      <c r="M18" s="11">
        <v>0</v>
      </c>
      <c r="O18" s="11">
        <v>3040000000</v>
      </c>
      <c r="Q18" s="52">
        <v>0</v>
      </c>
      <c r="S18" s="11">
        <f t="shared" si="0"/>
        <v>3040000000</v>
      </c>
    </row>
    <row r="19" spans="1:19" ht="30" customHeight="1">
      <c r="A19" s="28" t="s">
        <v>42</v>
      </c>
      <c r="C19" s="19" t="s">
        <v>98</v>
      </c>
      <c r="D19" s="19"/>
      <c r="E19" s="91">
        <v>1048946</v>
      </c>
      <c r="F19" s="19"/>
      <c r="G19" s="91">
        <v>75</v>
      </c>
      <c r="I19" s="11">
        <v>0</v>
      </c>
      <c r="K19" s="11">
        <v>0</v>
      </c>
      <c r="M19" s="11">
        <v>0</v>
      </c>
      <c r="O19" s="11">
        <v>78670950</v>
      </c>
      <c r="Q19" s="52">
        <v>0</v>
      </c>
      <c r="S19" s="11">
        <f t="shared" si="0"/>
        <v>78670950</v>
      </c>
    </row>
    <row r="20" spans="1:19" ht="30" customHeight="1">
      <c r="A20" s="28" t="s">
        <v>31</v>
      </c>
      <c r="C20" s="19" t="s">
        <v>5</v>
      </c>
      <c r="D20" s="19"/>
      <c r="E20" s="91">
        <v>31445210</v>
      </c>
      <c r="F20" s="19"/>
      <c r="G20" s="91">
        <v>50</v>
      </c>
      <c r="I20" s="11">
        <v>0</v>
      </c>
      <c r="K20" s="11">
        <v>0</v>
      </c>
      <c r="M20" s="11">
        <v>0</v>
      </c>
      <c r="O20" s="11">
        <v>1572260500</v>
      </c>
      <c r="Q20" s="52">
        <v>0</v>
      </c>
      <c r="S20" s="11">
        <f t="shared" si="0"/>
        <v>1572260500</v>
      </c>
    </row>
    <row r="21" spans="1:19" ht="30" customHeight="1">
      <c r="A21" s="28" t="s">
        <v>29</v>
      </c>
      <c r="C21" s="19" t="s">
        <v>94</v>
      </c>
      <c r="D21" s="19"/>
      <c r="E21" s="91">
        <v>43500000</v>
      </c>
      <c r="F21" s="19"/>
      <c r="G21" s="91">
        <v>550</v>
      </c>
      <c r="I21" s="11">
        <v>0</v>
      </c>
      <c r="K21" s="11">
        <v>0</v>
      </c>
      <c r="M21" s="11">
        <v>0</v>
      </c>
      <c r="O21" s="11">
        <v>23925000000</v>
      </c>
      <c r="Q21" s="52">
        <v>0</v>
      </c>
      <c r="S21" s="11">
        <f t="shared" si="0"/>
        <v>23925000000</v>
      </c>
    </row>
    <row r="22" spans="1:19" ht="30" customHeight="1">
      <c r="A22" s="28" t="s">
        <v>18</v>
      </c>
      <c r="C22" s="19" t="s">
        <v>95</v>
      </c>
      <c r="D22" s="19"/>
      <c r="E22" s="91">
        <v>14391845</v>
      </c>
      <c r="F22" s="19"/>
      <c r="G22" s="91">
        <v>248</v>
      </c>
      <c r="I22" s="11">
        <v>0</v>
      </c>
      <c r="K22" s="11">
        <v>0</v>
      </c>
      <c r="M22" s="11">
        <v>0</v>
      </c>
      <c r="O22" s="11">
        <v>3569177560</v>
      </c>
      <c r="Q22" s="52">
        <v>0</v>
      </c>
      <c r="S22" s="11">
        <f t="shared" si="0"/>
        <v>3569177560</v>
      </c>
    </row>
    <row r="23" spans="1:19" ht="30" customHeight="1">
      <c r="A23" s="28" t="s">
        <v>15</v>
      </c>
      <c r="C23" s="19" t="s">
        <v>5</v>
      </c>
      <c r="D23" s="19"/>
      <c r="E23" s="91">
        <v>75</v>
      </c>
      <c r="F23" s="19"/>
      <c r="G23" s="91">
        <v>7000</v>
      </c>
      <c r="I23" s="11">
        <v>0</v>
      </c>
      <c r="K23" s="11">
        <v>0</v>
      </c>
      <c r="M23" s="11">
        <v>0</v>
      </c>
      <c r="O23" s="11">
        <v>525000</v>
      </c>
      <c r="Q23" s="52">
        <v>0</v>
      </c>
      <c r="S23" s="11">
        <f t="shared" si="0"/>
        <v>525000</v>
      </c>
    </row>
    <row r="24" spans="1:19" ht="30" customHeight="1">
      <c r="A24" s="28" t="s">
        <v>120</v>
      </c>
      <c r="C24" s="19" t="s">
        <v>95</v>
      </c>
      <c r="D24" s="19"/>
      <c r="E24" s="91">
        <v>7153912</v>
      </c>
      <c r="F24" s="19"/>
      <c r="G24" s="91">
        <v>1000</v>
      </c>
      <c r="I24" s="11">
        <v>0</v>
      </c>
      <c r="K24" s="11">
        <v>0</v>
      </c>
      <c r="M24" s="11">
        <v>0</v>
      </c>
      <c r="O24" s="11">
        <v>7153912000</v>
      </c>
      <c r="Q24" s="52">
        <v>0</v>
      </c>
      <c r="S24" s="11">
        <f>O24+Q24</f>
        <v>7153912000</v>
      </c>
    </row>
    <row r="25" spans="1:19" ht="30" customHeight="1">
      <c r="A25" s="28" t="s">
        <v>38</v>
      </c>
      <c r="C25" s="19" t="s">
        <v>134</v>
      </c>
      <c r="D25" s="19"/>
      <c r="E25" s="91">
        <v>19700000</v>
      </c>
      <c r="F25" s="19"/>
      <c r="G25" s="91">
        <v>28</v>
      </c>
      <c r="I25" s="11">
        <v>0</v>
      </c>
      <c r="K25" s="11">
        <v>0</v>
      </c>
      <c r="M25" s="11">
        <f>I25</f>
        <v>0</v>
      </c>
      <c r="O25" s="11">
        <v>19700000</v>
      </c>
      <c r="Q25" s="52">
        <v>0</v>
      </c>
      <c r="S25" s="11">
        <f t="shared" si="0"/>
        <v>19700000</v>
      </c>
    </row>
    <row r="26" spans="1:19" ht="30" customHeight="1">
      <c r="A26" s="28" t="s">
        <v>139</v>
      </c>
      <c r="C26" s="19" t="s">
        <v>144</v>
      </c>
      <c r="D26" s="19"/>
      <c r="E26" s="91">
        <v>400</v>
      </c>
      <c r="F26" s="19"/>
      <c r="G26" s="91">
        <v>315594</v>
      </c>
      <c r="I26" s="11">
        <v>0</v>
      </c>
      <c r="K26" s="52">
        <v>0</v>
      </c>
      <c r="M26" s="11">
        <v>0</v>
      </c>
      <c r="O26" s="11">
        <v>126237600</v>
      </c>
      <c r="Q26" s="52">
        <v>-1621714</v>
      </c>
      <c r="S26" s="11">
        <f t="shared" si="0"/>
        <v>124615886</v>
      </c>
    </row>
    <row r="27" spans="1:19" ht="30" customHeight="1">
      <c r="A27" s="28" t="s">
        <v>140</v>
      </c>
      <c r="C27" s="19" t="s">
        <v>123</v>
      </c>
      <c r="D27" s="19"/>
      <c r="E27" s="91">
        <v>46</v>
      </c>
      <c r="F27" s="19"/>
      <c r="G27" s="91">
        <v>5121186</v>
      </c>
      <c r="I27" s="11">
        <v>0</v>
      </c>
      <c r="K27" s="52">
        <v>0</v>
      </c>
      <c r="M27" s="11">
        <f>I27</f>
        <v>0</v>
      </c>
      <c r="O27" s="11">
        <v>271060244</v>
      </c>
      <c r="Q27" s="52">
        <v>0</v>
      </c>
      <c r="S27" s="11">
        <f t="shared" si="0"/>
        <v>271060244</v>
      </c>
    </row>
    <row r="28" spans="1:19" ht="30" customHeight="1" thickBot="1">
      <c r="A28" s="20" t="s">
        <v>43</v>
      </c>
      <c r="C28" s="11"/>
      <c r="E28" s="11"/>
      <c r="G28" s="11"/>
      <c r="I28" s="15">
        <f>SUM(I7:I27)</f>
        <v>0</v>
      </c>
      <c r="K28" s="92">
        <f>SUM(K7:K27)</f>
        <v>0</v>
      </c>
      <c r="M28" s="15">
        <f>SUM(M7:M27)</f>
        <v>0</v>
      </c>
      <c r="O28" s="15">
        <f>SUM(O7:O27)</f>
        <v>107916832725</v>
      </c>
      <c r="Q28" s="92">
        <f>SUM(Q7:Q27)</f>
        <v>-125823366</v>
      </c>
      <c r="S28" s="93">
        <f>SUM(S7:S27)</f>
        <v>107791009359</v>
      </c>
    </row>
    <row r="29" spans="1:19" ht="30" customHeight="1" thickTop="1"/>
    <row r="31" spans="1:19" ht="30" customHeight="1">
      <c r="O31" s="11"/>
    </row>
    <row r="32" spans="1:19" ht="30" customHeight="1">
      <c r="O32" s="11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59999389629810485"/>
    <pageSetUpPr fitToPage="1"/>
  </sheetPr>
  <dimension ref="A1:M10"/>
  <sheetViews>
    <sheetView rightToLeft="1" view="pageBreakPreview" zoomScaleNormal="100" zoomScaleSheetLayoutView="100" workbookViewId="0">
      <selection activeCell="O1" sqref="O1"/>
    </sheetView>
  </sheetViews>
  <sheetFormatPr defaultRowHeight="30" customHeight="1"/>
  <cols>
    <col min="1" max="1" width="39" style="7" customWidth="1"/>
    <col min="2" max="2" width="1.28515625" style="7" customWidth="1"/>
    <col min="3" max="3" width="14.28515625" style="7" customWidth="1"/>
    <col min="4" max="4" width="1.28515625" style="7" customWidth="1"/>
    <col min="5" max="5" width="10.42578125" style="7" customWidth="1"/>
    <col min="6" max="6" width="1.28515625" style="7" customWidth="1"/>
    <col min="7" max="7" width="15.5703125" style="7" customWidth="1"/>
    <col min="8" max="8" width="1.28515625" style="7" customWidth="1"/>
    <col min="9" max="9" width="14.28515625" style="7" customWidth="1"/>
    <col min="10" max="10" width="1.28515625" style="7" customWidth="1"/>
    <col min="11" max="11" width="12" style="7" customWidth="1"/>
    <col min="12" max="12" width="1.28515625" style="7" customWidth="1"/>
    <col min="13" max="13" width="15.5703125" style="7" customWidth="1"/>
    <col min="14" max="14" width="0.28515625" style="17" customWidth="1"/>
    <col min="15" max="16384" width="9.140625" style="17"/>
  </cols>
  <sheetData>
    <row r="1" spans="1:13" ht="30" customHeight="1">
      <c r="A1" s="111" t="s">
        <v>109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30" customHeight="1">
      <c r="A2" s="111" t="s">
        <v>113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ht="30" customHeight="1">
      <c r="A3" s="111" t="s">
        <v>155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3" ht="30" customHeight="1">
      <c r="A4" s="133" t="s">
        <v>101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1:13" ht="30" customHeight="1">
      <c r="A5" s="113" t="s">
        <v>57</v>
      </c>
      <c r="C5" s="113" t="s">
        <v>71</v>
      </c>
      <c r="D5" s="113"/>
      <c r="E5" s="113"/>
      <c r="F5" s="113"/>
      <c r="G5" s="113"/>
      <c r="I5" s="113" t="s">
        <v>72</v>
      </c>
      <c r="J5" s="113"/>
      <c r="K5" s="113"/>
      <c r="L5" s="113"/>
      <c r="M5" s="113"/>
    </row>
    <row r="6" spans="1:13" ht="30" customHeight="1">
      <c r="A6" s="113"/>
      <c r="C6" s="6" t="s">
        <v>99</v>
      </c>
      <c r="D6" s="8"/>
      <c r="E6" s="6" t="s">
        <v>91</v>
      </c>
      <c r="F6" s="8"/>
      <c r="G6" s="6" t="s">
        <v>100</v>
      </c>
      <c r="I6" s="6" t="s">
        <v>99</v>
      </c>
      <c r="J6" s="8"/>
      <c r="K6" s="6" t="s">
        <v>91</v>
      </c>
      <c r="L6" s="8"/>
      <c r="M6" s="6" t="s">
        <v>100</v>
      </c>
    </row>
    <row r="7" spans="1:13" ht="30" customHeight="1">
      <c r="A7" s="8" t="s">
        <v>115</v>
      </c>
      <c r="C7" s="9">
        <f>'درآمد سپرده بانکی'!D7</f>
        <v>20547</v>
      </c>
      <c r="E7" s="9">
        <v>0</v>
      </c>
      <c r="G7" s="9">
        <f>C7</f>
        <v>20547</v>
      </c>
      <c r="I7" s="9">
        <f>'درآمد سپرده بانکی'!H7</f>
        <v>1701888</v>
      </c>
      <c r="K7" s="9">
        <v>0</v>
      </c>
      <c r="M7" s="9">
        <f>I7</f>
        <v>1701888</v>
      </c>
    </row>
    <row r="8" spans="1:13" ht="30" customHeight="1">
      <c r="A8" s="7" t="s">
        <v>116</v>
      </c>
      <c r="C8" s="11">
        <f>'درآمد سپرده بانکی'!D8</f>
        <v>16057</v>
      </c>
      <c r="E8" s="11">
        <v>0</v>
      </c>
      <c r="G8" s="11">
        <f>C8</f>
        <v>16057</v>
      </c>
      <c r="I8" s="11">
        <f>'درآمد سپرده بانکی'!H8</f>
        <v>190612880</v>
      </c>
      <c r="K8" s="11">
        <v>0</v>
      </c>
      <c r="M8" s="11">
        <f t="shared" ref="M8:M9" si="0">I8</f>
        <v>190612880</v>
      </c>
    </row>
    <row r="9" spans="1:13" ht="30" customHeight="1">
      <c r="A9" s="7" t="s">
        <v>117</v>
      </c>
      <c r="C9" s="11">
        <f>'درآمد سپرده بانکی'!D9</f>
        <v>61202</v>
      </c>
      <c r="E9" s="13">
        <v>0</v>
      </c>
      <c r="G9" s="13">
        <f>C9</f>
        <v>61202</v>
      </c>
      <c r="I9" s="11">
        <f>'درآمد سپرده بانکی'!H9</f>
        <v>559152</v>
      </c>
      <c r="K9" s="13">
        <v>0</v>
      </c>
      <c r="M9" s="11">
        <f t="shared" si="0"/>
        <v>559152</v>
      </c>
    </row>
    <row r="10" spans="1:13" ht="30" customHeight="1">
      <c r="A10" s="20" t="s">
        <v>43</v>
      </c>
      <c r="C10" s="22">
        <f>SUM(C7:C9)</f>
        <v>97806</v>
      </c>
      <c r="D10" s="20"/>
      <c r="E10" s="22">
        <v>0</v>
      </c>
      <c r="F10" s="20"/>
      <c r="G10" s="22">
        <f>SUM(G7:G9)</f>
        <v>97806</v>
      </c>
      <c r="H10" s="20"/>
      <c r="I10" s="22">
        <f>SUM(I7:I9)</f>
        <v>192873920</v>
      </c>
      <c r="J10" s="20"/>
      <c r="K10" s="22">
        <v>0</v>
      </c>
      <c r="L10" s="20"/>
      <c r="M10" s="22">
        <f>SUM(M7:M9)</f>
        <v>192873920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Ava Mobasheri</cp:lastModifiedBy>
  <cp:lastPrinted>2025-12-01T10:49:55Z</cp:lastPrinted>
  <dcterms:created xsi:type="dcterms:W3CDTF">2025-08-25T13:34:27Z</dcterms:created>
  <dcterms:modified xsi:type="dcterms:W3CDTF">2026-02-24T10:04:46Z</dcterms:modified>
</cp:coreProperties>
</file>