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\Bakhshi Sanaye Surena\رویین\گزارشات قانونی و عملکرد\صورت وضعیت پرتفوی\1404\14040930\"/>
    </mc:Choice>
  </mc:AlternateContent>
  <xr:revisionPtr revIDLastSave="0" documentId="13_ncr:1_{EC67F0BC-C04B-4159-90EC-2C832EB19D12}" xr6:coauthVersionLast="47" xr6:coauthVersionMax="47" xr10:uidLastSave="{00000000-0000-0000-0000-000000000000}"/>
  <bookViews>
    <workbookView xWindow="-120" yWindow="-120" windowWidth="29040" windowHeight="15840" firstSheet="14" activeTab="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externalReferences>
    <externalReference r:id="rId22"/>
  </externalReferences>
  <definedNames>
    <definedName name="_xlnm._FilterDatabase" localSheetId="8" hidden="1">'درآمد سرمایه گذاری در سهام'!$A$1:$A$65</definedName>
    <definedName name="_xlnm.Print_Area" localSheetId="4">اوراق!$A$1:$AL$8</definedName>
    <definedName name="_xlnm.Print_Area" localSheetId="2">'اوراق مشتقه'!$A$1:$AW$16</definedName>
    <definedName name="_xlnm.Print_Area" localSheetId="5">'تعدیل قیمت'!$A$1:$N$7</definedName>
    <definedName name="_xlnm.Print_Area" localSheetId="7">درآمد!$A$1:$K$12</definedName>
    <definedName name="_xlnm.Print_Area" localSheetId="19">'درآمد اعمال اختیار'!$A$1:$Z$7</definedName>
    <definedName name="_xlnm.Print_Area" localSheetId="12">'درآمد سپرده بانکی'!$A$1:$K$11</definedName>
    <definedName name="_xlnm.Print_Area" localSheetId="10">'درآمد سرمایه گذاری در اوراق به'!$A$1:$S$7</definedName>
    <definedName name="_xlnm.Print_Area" localSheetId="8">'درآمد سرمایه گذاری در سهام'!$A$1:$X$60</definedName>
    <definedName name="_xlnm.Print_Area" localSheetId="9">'درآمد سرمایه گذاری در صندوق'!$A$1:$W$8</definedName>
    <definedName name="_xlnm.Print_Area" localSheetId="14">'درآمد سود سهام'!$A$1:$T$29</definedName>
    <definedName name="_xlnm.Print_Area" localSheetId="15">'درآمد سود صندوق'!$A$1:$L$7</definedName>
    <definedName name="_xlnm.Print_Area" localSheetId="20">'درآمد ناشی از تغییر قیمت اوراق'!$A$1:$Q$41</definedName>
    <definedName name="_xlnm.Print_Area" localSheetId="18">'درآمد ناشی از فروش'!$A$1:$R$49</definedName>
    <definedName name="_xlnm.Print_Area" localSheetId="13">'سایر درآمدها'!$A$1:$G$12</definedName>
    <definedName name="_xlnm.Print_Area" localSheetId="6">سپرده!$A$1:$M$11</definedName>
    <definedName name="_xlnm.Print_Area" localSheetId="1">سهام!$A$1:$AA$45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وضعیت'!$A$1:$C$24</definedName>
    <definedName name="_xlnm.Print_Area" localSheetId="11">'مبالغ تخصیصی اوراق'!$A$1:$R$7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2" l="1"/>
  <c r="AA45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9" i="2"/>
  <c r="E18" i="19"/>
  <c r="M18" i="19"/>
  <c r="Y45" i="2"/>
  <c r="U49" i="9"/>
  <c r="U50" i="9"/>
  <c r="U51" i="9"/>
  <c r="U53" i="9"/>
  <c r="U54" i="9"/>
  <c r="U56" i="9"/>
  <c r="U58" i="9"/>
  <c r="U59" i="9"/>
  <c r="S38" i="9"/>
  <c r="U38" i="9" s="1"/>
  <c r="S32" i="9"/>
  <c r="S30" i="9"/>
  <c r="U30" i="9" s="1"/>
  <c r="S29" i="9"/>
  <c r="U29" i="9" s="1"/>
  <c r="S52" i="9"/>
  <c r="U52" i="9" s="1"/>
  <c r="S18" i="9"/>
  <c r="U18" i="9" s="1"/>
  <c r="S15" i="9"/>
  <c r="U15" i="9" s="1"/>
  <c r="O15" i="9"/>
  <c r="S57" i="9"/>
  <c r="U57" i="9" s="1"/>
  <c r="S45" i="9"/>
  <c r="S33" i="9"/>
  <c r="S27" i="9"/>
  <c r="S16" i="9"/>
  <c r="S17" i="9"/>
  <c r="S9" i="9"/>
  <c r="U9" i="9" s="1"/>
  <c r="O23" i="9"/>
  <c r="M24" i="9"/>
  <c r="M27" i="15"/>
  <c r="I59" i="9"/>
  <c r="I58" i="9"/>
  <c r="I56" i="9"/>
  <c r="I54" i="9"/>
  <c r="G57" i="9"/>
  <c r="I57" i="9" s="1"/>
  <c r="G45" i="9"/>
  <c r="G9" i="9"/>
  <c r="I9" i="9" s="1"/>
  <c r="O59" i="9"/>
  <c r="O51" i="9"/>
  <c r="O36" i="9"/>
  <c r="O38" i="9"/>
  <c r="O40" i="9"/>
  <c r="O43" i="9"/>
  <c r="O44" i="9"/>
  <c r="O45" i="9"/>
  <c r="O46" i="9"/>
  <c r="O47" i="9"/>
  <c r="O29" i="9"/>
  <c r="O32" i="9"/>
  <c r="O33" i="9"/>
  <c r="O20" i="9"/>
  <c r="O21" i="9"/>
  <c r="O22" i="9"/>
  <c r="O27" i="9"/>
  <c r="O10" i="9"/>
  <c r="O13" i="9"/>
  <c r="E59" i="9"/>
  <c r="E38" i="9"/>
  <c r="E10" i="9"/>
  <c r="G25" i="9"/>
  <c r="G11" i="9"/>
  <c r="G10" i="9"/>
  <c r="I10" i="9" s="1"/>
  <c r="E29" i="9"/>
  <c r="E44" i="9"/>
  <c r="E23" i="9"/>
  <c r="E36" i="9"/>
  <c r="E40" i="9"/>
  <c r="E43" i="9"/>
  <c r="E13" i="9"/>
  <c r="E47" i="9"/>
  <c r="E21" i="9"/>
  <c r="G55" i="9"/>
  <c r="I55" i="9" s="1"/>
  <c r="E22" i="9"/>
  <c r="E33" i="9"/>
  <c r="E20" i="9"/>
  <c r="E27" i="9"/>
  <c r="E32" i="9"/>
  <c r="E51" i="9"/>
  <c r="E46" i="9"/>
  <c r="E45" i="9"/>
  <c r="I7" i="21"/>
  <c r="M40" i="9"/>
  <c r="S28" i="15"/>
  <c r="M32" i="9"/>
  <c r="S24" i="15"/>
  <c r="M33" i="9"/>
  <c r="M16" i="9"/>
  <c r="M17" i="9"/>
  <c r="M27" i="9"/>
  <c r="M46" i="9"/>
  <c r="M45" i="9"/>
  <c r="S15" i="15"/>
  <c r="S7" i="15"/>
  <c r="O28" i="9"/>
  <c r="O35" i="9"/>
  <c r="O49" i="9"/>
  <c r="O50" i="9"/>
  <c r="O53" i="9"/>
  <c r="O54" i="9"/>
  <c r="O55" i="9"/>
  <c r="O56" i="9"/>
  <c r="O57" i="9"/>
  <c r="O58" i="9"/>
  <c r="M8" i="9"/>
  <c r="S10" i="9"/>
  <c r="S11" i="9"/>
  <c r="U11" i="9" s="1"/>
  <c r="S12" i="9"/>
  <c r="U12" i="9" s="1"/>
  <c r="S14" i="9"/>
  <c r="U14" i="9" s="1"/>
  <c r="S19" i="9"/>
  <c r="U19" i="9" s="1"/>
  <c r="S20" i="9"/>
  <c r="S21" i="9"/>
  <c r="S22" i="9"/>
  <c r="U22" i="9" s="1"/>
  <c r="S23" i="9"/>
  <c r="U23" i="9" s="1"/>
  <c r="S24" i="9"/>
  <c r="S25" i="9"/>
  <c r="U25" i="9" s="1"/>
  <c r="S26" i="9"/>
  <c r="U26" i="9" s="1"/>
  <c r="S28" i="9"/>
  <c r="U28" i="9" s="1"/>
  <c r="S31" i="9"/>
  <c r="U31" i="9" s="1"/>
  <c r="S34" i="9"/>
  <c r="U34" i="9" s="1"/>
  <c r="S35" i="9"/>
  <c r="U35" i="9" s="1"/>
  <c r="S36" i="9"/>
  <c r="S37" i="9"/>
  <c r="U37" i="9" s="1"/>
  <c r="S39" i="9"/>
  <c r="S40" i="9"/>
  <c r="S41" i="9"/>
  <c r="S42" i="9"/>
  <c r="U42" i="9" s="1"/>
  <c r="S46" i="9"/>
  <c r="U46" i="9" s="1"/>
  <c r="S48" i="9"/>
  <c r="U48" i="9" s="1"/>
  <c r="S55" i="9"/>
  <c r="U55" i="9" s="1"/>
  <c r="S8" i="9"/>
  <c r="U8" i="9" s="1"/>
  <c r="M10" i="9"/>
  <c r="M13" i="9"/>
  <c r="M20" i="9"/>
  <c r="M21" i="9"/>
  <c r="M36" i="9"/>
  <c r="M39" i="9"/>
  <c r="M41" i="9"/>
  <c r="M43" i="9"/>
  <c r="U43" i="9" s="1"/>
  <c r="M44" i="9"/>
  <c r="U44" i="9" s="1"/>
  <c r="M47" i="9"/>
  <c r="U47" i="9" s="1"/>
  <c r="G12" i="9"/>
  <c r="G14" i="9"/>
  <c r="G19" i="9"/>
  <c r="G20" i="9"/>
  <c r="G21" i="9"/>
  <c r="G22" i="9"/>
  <c r="G23" i="9"/>
  <c r="G24" i="9"/>
  <c r="G26" i="9"/>
  <c r="G28" i="9"/>
  <c r="G31" i="9"/>
  <c r="G34" i="9"/>
  <c r="G35" i="9"/>
  <c r="G36" i="9"/>
  <c r="I36" i="9" s="1"/>
  <c r="G37" i="9"/>
  <c r="G39" i="9"/>
  <c r="G40" i="9"/>
  <c r="G41" i="9"/>
  <c r="G42" i="9"/>
  <c r="G46" i="9"/>
  <c r="G48" i="9"/>
  <c r="G8" i="9"/>
  <c r="I8" i="9" s="1"/>
  <c r="E15" i="9"/>
  <c r="I15" i="9" s="1"/>
  <c r="E28" i="9"/>
  <c r="E35" i="9"/>
  <c r="E49" i="9"/>
  <c r="E50" i="9"/>
  <c r="E53" i="9"/>
  <c r="E54" i="9"/>
  <c r="E55" i="9"/>
  <c r="E56" i="9"/>
  <c r="E57" i="9"/>
  <c r="E58" i="9"/>
  <c r="C32" i="9"/>
  <c r="C39" i="9"/>
  <c r="C40" i="9"/>
  <c r="C41" i="9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7" i="21"/>
  <c r="Q8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K40" i="21"/>
  <c r="O40" i="21"/>
  <c r="M40" i="21"/>
  <c r="G40" i="21"/>
  <c r="I39" i="21"/>
  <c r="E40" i="21"/>
  <c r="C40" i="21"/>
  <c r="I38" i="21"/>
  <c r="I37" i="21"/>
  <c r="I8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Q34" i="19"/>
  <c r="Q33" i="19"/>
  <c r="I34" i="19"/>
  <c r="Q28" i="19"/>
  <c r="Q29" i="19"/>
  <c r="Q30" i="19"/>
  <c r="Q31" i="19"/>
  <c r="Q32" i="19"/>
  <c r="Q35" i="19"/>
  <c r="Q36" i="19"/>
  <c r="Q37" i="19"/>
  <c r="Q38" i="19"/>
  <c r="Q39" i="19"/>
  <c r="Q40" i="19"/>
  <c r="Q41" i="19"/>
  <c r="Q42" i="19"/>
  <c r="Q43" i="19"/>
  <c r="Q44" i="19"/>
  <c r="Q45" i="19"/>
  <c r="Q46" i="19"/>
  <c r="Q47" i="19"/>
  <c r="Q7" i="19"/>
  <c r="Q8" i="19"/>
  <c r="Q9" i="19"/>
  <c r="Q10" i="19"/>
  <c r="Q11" i="19"/>
  <c r="Q12" i="19"/>
  <c r="Q13" i="19"/>
  <c r="Q14" i="19"/>
  <c r="Q15" i="19"/>
  <c r="Q16" i="19"/>
  <c r="Q17" i="19"/>
  <c r="Q18" i="19"/>
  <c r="S13" i="9" s="1"/>
  <c r="U13" i="9" s="1"/>
  <c r="Q19" i="19"/>
  <c r="Q20" i="19"/>
  <c r="Q21" i="19"/>
  <c r="Q22" i="19"/>
  <c r="Q23" i="19"/>
  <c r="Q24" i="19"/>
  <c r="Q25" i="19"/>
  <c r="Q26" i="19"/>
  <c r="Q27" i="19"/>
  <c r="C48" i="19"/>
  <c r="E48" i="19"/>
  <c r="G48" i="19"/>
  <c r="O48" i="19"/>
  <c r="M48" i="19"/>
  <c r="K48" i="19"/>
  <c r="I47" i="19"/>
  <c r="I46" i="19"/>
  <c r="I45" i="19"/>
  <c r="I22" i="19"/>
  <c r="I8" i="19"/>
  <c r="I9" i="19"/>
  <c r="I10" i="19"/>
  <c r="I11" i="19"/>
  <c r="I12" i="19"/>
  <c r="I13" i="19"/>
  <c r="I14" i="19"/>
  <c r="I15" i="19"/>
  <c r="I16" i="19"/>
  <c r="I17" i="19"/>
  <c r="I18" i="19"/>
  <c r="G13" i="9" s="1"/>
  <c r="I13" i="9" s="1"/>
  <c r="I19" i="19"/>
  <c r="I20" i="19"/>
  <c r="I21" i="19"/>
  <c r="I23" i="19"/>
  <c r="I24" i="19"/>
  <c r="I25" i="19"/>
  <c r="I26" i="19"/>
  <c r="I27" i="19"/>
  <c r="I28" i="19"/>
  <c r="I29" i="19"/>
  <c r="I30" i="19"/>
  <c r="I31" i="19"/>
  <c r="I32" i="19"/>
  <c r="I33" i="19"/>
  <c r="I35" i="19"/>
  <c r="I36" i="19"/>
  <c r="I37" i="19"/>
  <c r="I38" i="19"/>
  <c r="I39" i="19"/>
  <c r="I40" i="19"/>
  <c r="I41" i="19"/>
  <c r="I42" i="19"/>
  <c r="I43" i="19"/>
  <c r="I44" i="19"/>
  <c r="I7" i="19"/>
  <c r="U24" i="9" l="1"/>
  <c r="U40" i="9"/>
  <c r="U39" i="9"/>
  <c r="U21" i="9"/>
  <c r="U17" i="9"/>
  <c r="U32" i="9"/>
  <c r="U36" i="9"/>
  <c r="U16" i="9"/>
  <c r="U41" i="9"/>
  <c r="U27" i="9"/>
  <c r="U33" i="9"/>
  <c r="U45" i="9"/>
  <c r="U20" i="9"/>
  <c r="U10" i="9"/>
  <c r="M60" i="9"/>
  <c r="C60" i="9"/>
  <c r="E60" i="9"/>
  <c r="S60" i="9"/>
  <c r="G60" i="9"/>
  <c r="O60" i="9"/>
  <c r="I40" i="21"/>
  <c r="I48" i="19"/>
  <c r="J9" i="7"/>
  <c r="J8" i="7"/>
  <c r="J7" i="7"/>
  <c r="S20" i="2"/>
  <c r="K16" i="2"/>
  <c r="K29" i="2"/>
  <c r="S29" i="2" s="1"/>
  <c r="S11" i="2"/>
  <c r="S12" i="2"/>
  <c r="S13" i="2"/>
  <c r="S14" i="2"/>
  <c r="S15" i="2"/>
  <c r="S16" i="2"/>
  <c r="S17" i="2"/>
  <c r="S18" i="2"/>
  <c r="S19" i="2"/>
  <c r="S21" i="2"/>
  <c r="S22" i="2"/>
  <c r="S23" i="2"/>
  <c r="S24" i="2"/>
  <c r="S25" i="2"/>
  <c r="S26" i="2"/>
  <c r="S27" i="2"/>
  <c r="S28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10" i="2"/>
  <c r="S9" i="2"/>
  <c r="W45" i="2"/>
  <c r="Q45" i="2"/>
  <c r="O45" i="2"/>
  <c r="M45" i="2"/>
  <c r="I45" i="2"/>
  <c r="G45" i="2"/>
  <c r="E45" i="2"/>
  <c r="S8" i="15"/>
  <c r="S9" i="15"/>
  <c r="S10" i="15"/>
  <c r="S11" i="15"/>
  <c r="S12" i="15"/>
  <c r="S13" i="15"/>
  <c r="S14" i="15"/>
  <c r="S16" i="15"/>
  <c r="S17" i="15"/>
  <c r="S18" i="15"/>
  <c r="S19" i="15"/>
  <c r="S20" i="15"/>
  <c r="S21" i="15"/>
  <c r="S22" i="15"/>
  <c r="S23" i="15"/>
  <c r="S25" i="15"/>
  <c r="S26" i="15"/>
  <c r="S27" i="15"/>
  <c r="O28" i="15"/>
  <c r="I60" i="9" l="1"/>
  <c r="F6" i="8" s="1"/>
  <c r="K45" i="2"/>
  <c r="S45" i="2"/>
  <c r="Q28" i="15"/>
  <c r="I25" i="9" l="1"/>
  <c r="M28" i="15"/>
  <c r="I28" i="15"/>
  <c r="K28" i="15"/>
  <c r="I8" i="18"/>
  <c r="I9" i="18"/>
  <c r="I7" i="18"/>
  <c r="C8" i="18"/>
  <c r="C9" i="18"/>
  <c r="C7" i="18"/>
  <c r="G7" i="18" s="1"/>
  <c r="F11" i="14" l="1"/>
  <c r="I34" i="9" l="1"/>
  <c r="I37" i="9"/>
  <c r="I38" i="9"/>
  <c r="I33" i="9"/>
  <c r="I52" i="9"/>
  <c r="I51" i="9"/>
  <c r="I48" i="9"/>
  <c r="U60" i="9" l="1"/>
  <c r="Q40" i="21"/>
  <c r="I35" i="9"/>
  <c r="I53" i="9"/>
  <c r="I49" i="9"/>
  <c r="I50" i="9"/>
  <c r="Q48" i="19" l="1"/>
  <c r="D11" i="14"/>
  <c r="I11" i="9" l="1"/>
  <c r="I12" i="9"/>
  <c r="I14" i="9"/>
  <c r="I16" i="9"/>
  <c r="I17" i="9"/>
  <c r="I18" i="9"/>
  <c r="I19" i="9"/>
  <c r="I20" i="9"/>
  <c r="I21" i="9"/>
  <c r="I23" i="9"/>
  <c r="I24" i="9"/>
  <c r="I26" i="9"/>
  <c r="I27" i="9"/>
  <c r="I29" i="9"/>
  <c r="I31" i="9"/>
  <c r="I32" i="9"/>
  <c r="I40" i="9"/>
  <c r="I42" i="9"/>
  <c r="I43" i="9"/>
  <c r="I44" i="9"/>
  <c r="I45" i="9"/>
  <c r="I46" i="9"/>
  <c r="I47" i="9"/>
  <c r="I41" i="9"/>
  <c r="I28" i="9"/>
  <c r="I39" i="9"/>
  <c r="M8" i="18"/>
  <c r="M9" i="18"/>
  <c r="M7" i="18"/>
  <c r="I10" i="18"/>
  <c r="C10" i="18"/>
  <c r="G9" i="18"/>
  <c r="G8" i="18"/>
  <c r="M25" i="15"/>
  <c r="H10" i="13"/>
  <c r="D10" i="13"/>
  <c r="F9" i="8" s="1"/>
  <c r="J9" i="8" s="1"/>
  <c r="J11" i="8" s="1"/>
  <c r="L10" i="7"/>
  <c r="F10" i="7"/>
  <c r="H10" i="7"/>
  <c r="G10" i="18" l="1"/>
  <c r="M10" i="18"/>
  <c r="I22" i="9" l="1"/>
  <c r="F11" i="8" l="1"/>
  <c r="H9" i="8" l="1"/>
  <c r="H10" i="8"/>
  <c r="H6" i="8"/>
  <c r="D10" i="7"/>
  <c r="J10" i="7"/>
  <c r="H11" i="8" l="1"/>
</calcChain>
</file>

<file path=xl/sharedStrings.xml><?xml version="1.0" encoding="utf-8"?>
<sst xmlns="http://schemas.openxmlformats.org/spreadsheetml/2006/main" count="593" uniqueCount="232">
  <si>
    <t>صندوق سرمایه گذاری بخشی صنایع سورنا</t>
  </si>
  <si>
    <t>صورت وضعیت پرتفوی سورنافود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</si>
  <si>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</si>
  <si>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</si>
  <si>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</si>
  <si>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</si>
  <si>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</si>
  <si>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</si>
  <si>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</si>
  <si>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</si>
  <si>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</si>
  <si>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</si>
  <si>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</si>
  <si>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</si>
  <si>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</si>
  <si>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</si>
  <si>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آلومینای ایران</t>
  </si>
  <si>
    <t>اقتصادی و خودکفایی آزادگان</t>
  </si>
  <si>
    <t>بانک تجارت</t>
  </si>
  <si>
    <t>بهار رز عالیس چناران</t>
  </si>
  <si>
    <t>پاکدیس</t>
  </si>
  <si>
    <t>پگاه‌آذربایجان‌غربی‌</t>
  </si>
  <si>
    <t>توسعه نیشکر و  صنایع جانبی</t>
  </si>
  <si>
    <t>تولیدی‌مهرام‌</t>
  </si>
  <si>
    <t>ح . دشت‌ مرغاب‌</t>
  </si>
  <si>
    <t>دشت‌ مرغاب‌</t>
  </si>
  <si>
    <t>سپید ماکیان</t>
  </si>
  <si>
    <t>سیمرغ</t>
  </si>
  <si>
    <t>شوکو پارس</t>
  </si>
  <si>
    <t>شیر پاستوریزه پگاه گلپایگان</t>
  </si>
  <si>
    <t>شیرپاستوریزه‌پگاه‌اصفهان‌</t>
  </si>
  <si>
    <t>صنعت غذایی کورش</t>
  </si>
  <si>
    <t>صنعتی بهپاک</t>
  </si>
  <si>
    <t>صنعتی زر ماکارون</t>
  </si>
  <si>
    <t>صنعتی مینو</t>
  </si>
  <si>
    <t>فرآورده های دامی ولبنی دالاهو</t>
  </si>
  <si>
    <t>فروشگاههای زنجیره ای افق کوروش</t>
  </si>
  <si>
    <t>گروه سرمایه گذاری لقمان</t>
  </si>
  <si>
    <t>گروه سرمایه گذاری میراث فرهنگی</t>
  </si>
  <si>
    <t>مخابرات ایران</t>
  </si>
  <si>
    <t>نشاسته و گلوکز آردینه</t>
  </si>
  <si>
    <t>ویتانا</t>
  </si>
  <si>
    <t>کشت و دامداری فکا</t>
  </si>
  <si>
    <t>کشت و صنعت جوین</t>
  </si>
  <si>
    <t>کشت و صنعت شهداب ناب خراسان</t>
  </si>
  <si>
    <t>کشت وصنعت بهاران گلبهار خراسان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</si>
  <si>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</si>
  <si>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</si>
  <si>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</si>
  <si>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</si>
  <si>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</si>
  <si>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</si>
  <si>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</si>
  <si>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</si>
  <si>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</si>
  <si>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</si>
  <si>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</si>
  <si>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</si>
  <si>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</si>
  <si>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</si>
  <si>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</si>
  <si>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</si>
  <si>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</si>
  <si>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</si>
  <si>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</si>
  <si>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</si>
  <si>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</si>
  <si>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</si>
  <si>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</si>
  <si>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</si>
  <si>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</si>
  <si>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</si>
  <si>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</si>
  <si>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</si>
  <si>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</si>
  <si>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</si>
  <si>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</si>
  <si>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</si>
  <si>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</si>
  <si>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</si>
  <si>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</si>
  <si>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</si>
  <si>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</si>
  <si>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</si>
  <si>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</si>
  <si>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</si>
  <si>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</si>
  <si>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</si>
  <si>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خاورمیانه نیایش</t>
  </si>
  <si>
    <t>سپرده کوتاه مدت بانک ملی بورس اوراق بهادار</t>
  </si>
  <si>
    <t>سپرده کوتاه مدت بانک دی حافظ</t>
  </si>
  <si>
    <t>صورت وضعیت درآمدها سورنافود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</si>
  <si>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</si>
  <si>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</si>
  <si>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</si>
  <si>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</si>
  <si>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</si>
  <si>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</si>
  <si>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</si>
  <si>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</si>
  <si>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</si>
  <si>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</si>
  <si>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</si>
  <si>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</si>
  <si>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</si>
  <si>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</si>
  <si>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</si>
  <si>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</si>
  <si>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</si>
  <si>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</si>
  <si>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</si>
  <si>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</si>
  <si>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</si>
  <si>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مهر</t>
  </si>
  <si>
    <t>سایپا</t>
  </si>
  <si>
    <t>-2-2</t>
  </si>
  <si>
    <t>درآمد حاصل از سرمایه­گذاری در واحدهای صندوق</t>
  </si>
  <si>
    <t>درآمد سود صندوق</t>
  </si>
  <si>
    <t>-3-2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</si>
  <si>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</si>
  <si>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</si>
  <si>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</si>
  <si>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</si>
  <si>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</si>
  <si>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</si>
  <si>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</si>
  <si>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</si>
  <si>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</si>
  <si>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</si>
  <si>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</si>
  <si>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</si>
  <si>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</si>
  <si>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</si>
  <si>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</si>
  <si>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</si>
  <si>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</si>
  <si>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</si>
  <si>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</si>
  <si>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</si>
  <si>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</si>
  <si>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</si>
  <si>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</si>
  <si>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</si>
  <si>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</si>
  <si>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</si>
  <si>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1404/04/12</t>
  </si>
  <si>
    <t>1404/04/30</t>
  </si>
  <si>
    <t>1404/04/28</t>
  </si>
  <si>
    <t>1404/05/14</t>
  </si>
  <si>
    <t>1404/04/18</t>
  </si>
  <si>
    <t>1404/04/19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</si>
  <si>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</si>
  <si>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</si>
  <si>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</si>
  <si>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</si>
  <si>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</si>
  <si>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</si>
  <si>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</si>
  <si>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</si>
  <si>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</si>
  <si>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</si>
  <si>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</si>
  <si>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</si>
  <si>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</si>
  <si>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</si>
  <si>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</si>
  <si>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</si>
  <si>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</si>
  <si>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</si>
  <si>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</si>
  <si>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</si>
  <si>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</si>
  <si>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</si>
  <si>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</si>
  <si>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</si>
  <si>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</si>
  <si>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</si>
  <si>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</si>
  <si>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 xml:space="preserve">نام شرکت </t>
  </si>
  <si>
    <t>صندوق سرمایه گذاری بخشی صنایع سورنا- نماد سورنافود</t>
  </si>
  <si>
    <t>صورت وضعیت پرتفوی</t>
  </si>
  <si>
    <t>صندوق سرمایه گذاری بخشی صنایع سورنا- نماد سورفود</t>
  </si>
  <si>
    <t>صورت وضعیت درآمدها</t>
  </si>
  <si>
    <t xml:space="preserve">صورت وضعیت درآمدها </t>
  </si>
  <si>
    <t>صندوق سرمایه گذاری بخشی صنایع سورنا- سورنافود</t>
  </si>
  <si>
    <t>صندوق سرمایه گذاری بخشی صنایع سورنا-نماد سورنافود</t>
  </si>
  <si>
    <t>درصد به کل دارایی‌ها</t>
  </si>
  <si>
    <t>درآمد حاصل از سرمایه­گذاری در اوراق بهادار با درآمد ثابت</t>
  </si>
  <si>
    <t>سپرده کوتاه مدت بانک خاورمیانه</t>
  </si>
  <si>
    <t xml:space="preserve">سپرده کوتاه مدت بانک ملی </t>
  </si>
  <si>
    <t xml:space="preserve">سپرده کوتاه مدت بانک دی </t>
  </si>
  <si>
    <t>کشاورزی و دامپروری بینالود</t>
  </si>
  <si>
    <t xml:space="preserve"> سیمرغ</t>
  </si>
  <si>
    <t xml:space="preserve"> ویتانا</t>
  </si>
  <si>
    <t xml:space="preserve"> نشاسته و گلوکز آردینه</t>
  </si>
  <si>
    <t xml:space="preserve"> فرآورده های دامی ولبنی دالاهو</t>
  </si>
  <si>
    <t>حق تقدم دشت مرغاب</t>
  </si>
  <si>
    <t>1-2-درآمد حاصل از سرمایه­گذاری در سهام و حق تقدم سهام</t>
  </si>
  <si>
    <t>1404/07/30</t>
  </si>
  <si>
    <t>بیمه رازی</t>
  </si>
  <si>
    <t>پارس مینو</t>
  </si>
  <si>
    <t>پتروشیمی شیراز</t>
  </si>
  <si>
    <t>تهیه توزیع غذای دنا آفرین فدک</t>
  </si>
  <si>
    <t>جنرال مکانیک</t>
  </si>
  <si>
    <t>معدنی و صنعتی گل گهر</t>
  </si>
  <si>
    <t>پالایش نفت بندرعباس</t>
  </si>
  <si>
    <t>مدیریت انرژی امید تابان هور</t>
  </si>
  <si>
    <t>کشت و صنعت چین چین</t>
  </si>
  <si>
    <t>1404/.07/26</t>
  </si>
  <si>
    <t>1404/01/31</t>
  </si>
  <si>
    <t>توسعه صنایع بهشهر</t>
  </si>
  <si>
    <t>سرمایه گذاری غدیر</t>
  </si>
  <si>
    <t>صنعتی بهشهر</t>
  </si>
  <si>
    <r>
      <t>شیر پاستوریزه‌پگاه</t>
    </r>
    <r>
      <rPr>
        <b/>
        <sz val="12"/>
        <color rgb="FF000000"/>
        <rFont val="B Nazanin"/>
        <charset val="178"/>
      </rPr>
      <t>‌</t>
    </r>
    <r>
      <rPr>
        <sz val="12"/>
        <color rgb="FF000000"/>
        <rFont val="B Nazanin"/>
        <charset val="178"/>
      </rPr>
      <t>اصفهان</t>
    </r>
  </si>
  <si>
    <t>بیسکویت گرجی</t>
  </si>
  <si>
    <t>کشت و صنعت و جوین</t>
  </si>
  <si>
    <t>دشت مرغاب</t>
  </si>
  <si>
    <t>سالمین</t>
  </si>
  <si>
    <t>تولیدی مهرام</t>
  </si>
  <si>
    <t>شیر پاستوریزه‌پگاه‌ گلپایگان</t>
  </si>
  <si>
    <t>1404/08/30</t>
  </si>
  <si>
    <t>1404/08/29</t>
  </si>
  <si>
    <t>بهنوش ایران</t>
  </si>
  <si>
    <t>ملی کشت و صنعت و دامپروری پارس</t>
  </si>
  <si>
    <t>صنایع غذایی رضوی</t>
  </si>
  <si>
    <t>زعفران0510نگین سحرخیز</t>
  </si>
  <si>
    <t>برای ماه منتهی به 1404/09/30</t>
  </si>
  <si>
    <t>1404/09/30</t>
  </si>
  <si>
    <t>تولیدی کوچین</t>
  </si>
  <si>
    <t>توسعه نیشکر و صنایع جانبی</t>
  </si>
  <si>
    <t>توسعه صنایع بهشهر(هلدینگ</t>
  </si>
  <si>
    <t>شیر پاستوریزه‌پگاه‌اصفهان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</si>
</sst>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color rgb="FF1E90FF"/>
      <name val="B Nazanin"/>
      <charset val="178"/>
    </font>
    <font>
      <sz val="12"/>
      <color rgb="FFFF0000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262626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79"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3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3" fontId="3" fillId="0" borderId="5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2" borderId="0" xfId="0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/>
    </xf>
    <xf numFmtId="3" fontId="4" fillId="2" borderId="2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12" fillId="0" borderId="2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38" fontId="12" fillId="2" borderId="2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38" fontId="12" fillId="2" borderId="0" xfId="0" applyNumberFormat="1" applyFont="1" applyFill="1" applyAlignment="1">
      <alignment horizontal="center" vertical="center"/>
    </xf>
    <xf numFmtId="3" fontId="1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3" fillId="2" borderId="5" xfId="0" applyNumberFormat="1" applyFont="1" applyFill="1" applyBorder="1" applyAlignment="1">
      <alignment horizontal="center" vertical="center"/>
    </xf>
    <xf numFmtId="38" fontId="11" fillId="2" borderId="5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38" fontId="8" fillId="2" borderId="0" xfId="0" applyNumberFormat="1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left"/>
    </xf>
    <xf numFmtId="38" fontId="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3" fontId="13" fillId="0" borderId="5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 wrapText="1"/>
    </xf>
    <xf numFmtId="38" fontId="4" fillId="0" borderId="0" xfId="0" applyNumberFormat="1" applyFont="1" applyAlignment="1">
      <alignment horizontal="center" vertical="center" wrapText="1"/>
    </xf>
    <xf numFmtId="38" fontId="12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4" fillId="0" borderId="0" xfId="1" applyNumberFormat="1" applyFont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38" fontId="8" fillId="0" borderId="0" xfId="0" applyNumberFormat="1" applyFont="1" applyAlignment="1">
      <alignment horizontal="center" vertical="center"/>
    </xf>
    <xf numFmtId="38" fontId="13" fillId="0" borderId="5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8" fontId="3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8" fontId="13" fillId="0" borderId="7" xfId="0" applyNumberFormat="1" applyFont="1" applyBorder="1" applyAlignment="1">
      <alignment horizontal="center" vertical="center"/>
    </xf>
    <xf numFmtId="38" fontId="6" fillId="0" borderId="2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1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38" fontId="11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38" fontId="4" fillId="0" borderId="0" xfId="0" applyNumberFormat="1" applyFont="1" applyAlignment="1">
      <alignment horizontal="left"/>
    </xf>
    <xf numFmtId="38" fontId="1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center" vertical="center"/>
    </xf>
    <xf numFmtId="38" fontId="8" fillId="0" borderId="2" xfId="0" applyNumberFormat="1" applyFont="1" applyBorder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horizontal="left"/>
    </xf>
    <xf numFmtId="3" fontId="4" fillId="0" borderId="9" xfId="0" applyNumberFormat="1" applyFont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4" fillId="0" borderId="0" xfId="1" applyNumberFormat="1" applyFont="1" applyFill="1" applyAlignment="1">
      <alignment horizontal="center" vertical="center"/>
    </xf>
    <xf numFmtId="164" fontId="12" fillId="0" borderId="0" xfId="1" applyNumberFormat="1" applyFont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38" fontId="4" fillId="0" borderId="0" xfId="1" applyNumberFormat="1" applyFont="1" applyAlignment="1">
      <alignment horizontal="center" vertical="center" wrapText="1"/>
    </xf>
    <xf numFmtId="38" fontId="4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38" fontId="13" fillId="0" borderId="10" xfId="0" applyNumberFormat="1" applyFont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3" fillId="2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38" fontId="3" fillId="0" borderId="2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mobasheri\Downloads\MonthlyPortfolioDisclosureReport%20(8).xlsx" TargetMode="External"/><Relationship Id="rId1" Type="http://schemas.openxmlformats.org/officeDocument/2006/relationships/externalLinkPath" Target="file:///C:\Users\a.mobasheri\Downloads\MonthlyPortfolioDisclosureReport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ورت وضعیت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9:C24"/>
  <sheetViews>
    <sheetView rightToLeft="1" view="pageBreakPreview" topLeftCell="A4" zoomScaleNormal="100" zoomScaleSheetLayoutView="100" workbookViewId="0">
      <selection activeCell="D1" sqref="D1"/>
    </sheetView>
  </sheetViews>
  <sheetFormatPr defaultRowHeight="12.75"/>
  <cols>
    <col min="1" max="1" width="31.5703125" customWidth="1"/>
    <col min="2" max="2" width="44.7109375" customWidth="1"/>
    <col min="3" max="3" width="30.7109375" customWidth="1"/>
  </cols>
  <sheetData>
    <row r="19" spans="1:3" ht="29.1" customHeight="1">
      <c r="A19" s="137" t="s">
        <v>181</v>
      </c>
      <c r="B19" s="137"/>
      <c r="C19" s="137"/>
    </row>
    <row r="20" spans="1:3" ht="21.75" customHeight="1">
      <c r="A20" s="137" t="s">
        <v>180</v>
      </c>
      <c r="B20" s="137"/>
      <c r="C20" s="137"/>
    </row>
    <row r="21" spans="1:3" ht="21.75" customHeight="1">
      <c r="A21" s="137" t="s">
        <v>226</v>
      </c>
      <c r="B21" s="137"/>
      <c r="C21" s="137"/>
    </row>
    <row r="22" spans="1:3" ht="27" customHeight="1"/>
    <row r="23" spans="1:3" ht="123.6" customHeight="1">
      <c r="B23" s="138"/>
    </row>
    <row r="24" spans="1:3" ht="123.6" customHeight="1">
      <c r="B24" s="138"/>
    </row>
  </sheetData>
  <mergeCells count="4">
    <mergeCell ref="A19:C19"/>
    <mergeCell ref="A20:C20"/>
    <mergeCell ref="A21:C21"/>
    <mergeCell ref="B23:B24"/>
  </mergeCells>
  <pageMargins left="0.39" right="0.39" top="0.39" bottom="0.39" header="0" footer="0"/>
  <pageSetup paperSize="9" scale="85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V7"/>
  <sheetViews>
    <sheetView rightToLeft="1" view="pageBreakPreview" topLeftCell="A4" zoomScaleNormal="100" zoomScaleSheetLayoutView="100" workbookViewId="0">
      <selection activeCell="P14" sqref="P14"/>
    </sheetView>
  </sheetViews>
  <sheetFormatPr defaultRowHeight="30" customHeight="1"/>
  <cols>
    <col min="1" max="1" width="5.140625" style="18" customWidth="1"/>
    <col min="2" max="2" width="18.140625" style="18" customWidth="1"/>
    <col min="3" max="3" width="1.28515625" style="18" customWidth="1"/>
    <col min="4" max="4" width="13" style="18" customWidth="1"/>
    <col min="5" max="5" width="1.28515625" style="18" customWidth="1"/>
    <col min="6" max="6" width="14.28515625" style="18" customWidth="1"/>
    <col min="7" max="7" width="1.28515625" style="18" customWidth="1"/>
    <col min="8" max="8" width="13" style="18" customWidth="1"/>
    <col min="9" max="9" width="1.28515625" style="18" customWidth="1"/>
    <col min="10" max="10" width="13" style="18" customWidth="1"/>
    <col min="11" max="11" width="1.28515625" style="18" customWidth="1"/>
    <col min="12" max="12" width="15.5703125" style="18" customWidth="1"/>
    <col min="13" max="13" width="1.28515625" style="18" customWidth="1"/>
    <col min="14" max="14" width="13" style="18" customWidth="1"/>
    <col min="15" max="15" width="1.28515625" style="18" customWidth="1"/>
    <col min="16" max="16" width="14.28515625" style="18" customWidth="1"/>
    <col min="17" max="17" width="1.28515625" style="18" customWidth="1"/>
    <col min="18" max="18" width="13" style="18" customWidth="1"/>
    <col min="19" max="19" width="1.28515625" style="18" customWidth="1"/>
    <col min="20" max="20" width="13" style="18" customWidth="1"/>
    <col min="21" max="21" width="1.28515625" style="18" customWidth="1"/>
    <col min="22" max="22" width="15.5703125" style="18" customWidth="1"/>
    <col min="23" max="23" width="0.28515625" style="18" customWidth="1"/>
    <col min="24" max="16384" width="9.140625" style="18"/>
  </cols>
  <sheetData>
    <row r="1" spans="1:22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22" ht="30" customHeight="1">
      <c r="A2" s="153" t="s">
        <v>182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</row>
    <row r="3" spans="1:22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</row>
    <row r="4" spans="1:22" ht="30" customHeight="1">
      <c r="A4" s="17" t="s">
        <v>115</v>
      </c>
      <c r="B4" s="154" t="s">
        <v>116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</row>
    <row r="5" spans="1:22" ht="30" customHeight="1">
      <c r="D5" s="155" t="s">
        <v>108</v>
      </c>
      <c r="E5" s="155"/>
      <c r="F5" s="155"/>
      <c r="G5" s="155"/>
      <c r="H5" s="155"/>
      <c r="I5" s="155"/>
      <c r="J5" s="155"/>
      <c r="K5" s="155"/>
      <c r="L5" s="155"/>
      <c r="N5" s="155" t="s">
        <v>109</v>
      </c>
      <c r="O5" s="155"/>
      <c r="P5" s="155"/>
      <c r="Q5" s="155"/>
      <c r="R5" s="155"/>
      <c r="S5" s="155"/>
      <c r="T5" s="155"/>
      <c r="U5" s="155"/>
      <c r="V5" s="155"/>
    </row>
    <row r="6" spans="1:22" s="31" customFormat="1" ht="39" customHeight="1">
      <c r="A6" s="175" t="s">
        <v>63</v>
      </c>
      <c r="B6" s="175"/>
      <c r="D6" s="160" t="s">
        <v>117</v>
      </c>
      <c r="E6" s="32"/>
      <c r="F6" s="160" t="s">
        <v>111</v>
      </c>
      <c r="G6" s="32"/>
      <c r="H6" s="160" t="s">
        <v>112</v>
      </c>
      <c r="I6" s="32"/>
      <c r="J6" s="164" t="s">
        <v>46</v>
      </c>
      <c r="K6" s="164"/>
      <c r="L6" s="164"/>
      <c r="N6" s="160" t="s">
        <v>117</v>
      </c>
      <c r="O6" s="32"/>
      <c r="P6" s="160" t="s">
        <v>111</v>
      </c>
      <c r="Q6" s="32"/>
      <c r="R6" s="160" t="s">
        <v>112</v>
      </c>
      <c r="S6" s="32"/>
      <c r="T6" s="164" t="s">
        <v>46</v>
      </c>
      <c r="U6" s="164"/>
      <c r="V6" s="164"/>
    </row>
    <row r="7" spans="1:22" s="31" customFormat="1" ht="37.5" customHeight="1">
      <c r="A7" s="161"/>
      <c r="B7" s="161"/>
      <c r="D7" s="161"/>
      <c r="F7" s="161"/>
      <c r="H7" s="161"/>
      <c r="J7" s="7" t="s">
        <v>85</v>
      </c>
      <c r="K7" s="32"/>
      <c r="L7" s="7" t="s">
        <v>96</v>
      </c>
      <c r="N7" s="161"/>
      <c r="P7" s="161"/>
      <c r="R7" s="161"/>
      <c r="T7" s="7" t="s">
        <v>85</v>
      </c>
      <c r="U7" s="32"/>
      <c r="V7" s="7" t="s">
        <v>96</v>
      </c>
    </row>
  </sheetData>
  <mergeCells count="15">
    <mergeCell ref="J6:L6"/>
    <mergeCell ref="T6:V6"/>
    <mergeCell ref="A1:V1"/>
    <mergeCell ref="A2:V2"/>
    <mergeCell ref="A3:V3"/>
    <mergeCell ref="B4:V4"/>
    <mergeCell ref="D5:L5"/>
    <mergeCell ref="N5:V5"/>
    <mergeCell ref="D6:D7"/>
    <mergeCell ref="R6:R7"/>
    <mergeCell ref="P6:P7"/>
    <mergeCell ref="N6:N7"/>
    <mergeCell ref="H6:H7"/>
    <mergeCell ref="F6:F7"/>
    <mergeCell ref="A6:B7"/>
  </mergeCells>
  <pageMargins left="0.39" right="0.39" top="0.39" bottom="0.39" header="0" footer="0"/>
  <pageSetup scale="7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79998168889431442"/>
    <pageSetUpPr fitToPage="1"/>
  </sheetPr>
  <dimension ref="A1:R6"/>
  <sheetViews>
    <sheetView rightToLeft="1" view="pageBreakPreview" zoomScaleNormal="100" zoomScaleSheetLayoutView="100" workbookViewId="0">
      <selection activeCell="D5" sqref="D5:J5"/>
    </sheetView>
  </sheetViews>
  <sheetFormatPr defaultRowHeight="30" customHeight="1"/>
  <cols>
    <col min="1" max="1" width="5.140625" style="18" customWidth="1"/>
    <col min="2" max="2" width="18.140625" style="18" customWidth="1"/>
    <col min="3" max="3" width="1.28515625" style="18" customWidth="1"/>
    <col min="4" max="4" width="17.140625" style="18" customWidth="1"/>
    <col min="5" max="5" width="1.28515625" style="18" customWidth="1"/>
    <col min="6" max="6" width="17.7109375" style="18" customWidth="1"/>
    <col min="7" max="7" width="1.28515625" style="18" customWidth="1"/>
    <col min="8" max="8" width="13" style="18" customWidth="1"/>
    <col min="9" max="9" width="1.28515625" style="18" customWidth="1"/>
    <col min="10" max="10" width="19.42578125" style="18" customWidth="1"/>
    <col min="11" max="11" width="1.28515625" style="18" customWidth="1"/>
    <col min="12" max="12" width="16" style="18" customWidth="1"/>
    <col min="13" max="13" width="1.28515625" style="18" customWidth="1"/>
    <col min="14" max="14" width="16.85546875" style="18" customWidth="1"/>
    <col min="15" max="15" width="1.28515625" style="18" customWidth="1"/>
    <col min="16" max="16" width="13" style="18" customWidth="1"/>
    <col min="17" max="17" width="1.28515625" style="18" customWidth="1"/>
    <col min="18" max="18" width="19.42578125" style="18" customWidth="1"/>
    <col min="19" max="19" width="0.28515625" style="18" customWidth="1"/>
    <col min="20" max="16384" width="9.140625" style="18"/>
  </cols>
  <sheetData>
    <row r="1" spans="1:18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</row>
    <row r="2" spans="1:18" ht="30" customHeight="1">
      <c r="A2" s="153" t="s">
        <v>183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</row>
    <row r="3" spans="1:18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</row>
    <row r="4" spans="1:18" ht="30" customHeight="1">
      <c r="A4" s="17" t="s">
        <v>118</v>
      </c>
      <c r="B4" s="154" t="s">
        <v>187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</row>
    <row r="5" spans="1:18" ht="30" customHeight="1">
      <c r="D5" s="155" t="s">
        <v>108</v>
      </c>
      <c r="E5" s="155"/>
      <c r="F5" s="155"/>
      <c r="G5" s="155"/>
      <c r="H5" s="155"/>
      <c r="I5" s="155"/>
      <c r="J5" s="155"/>
      <c r="L5" s="155" t="s">
        <v>109</v>
      </c>
      <c r="M5" s="155"/>
      <c r="N5" s="155"/>
      <c r="O5" s="155"/>
      <c r="P5" s="155"/>
      <c r="Q5" s="155"/>
      <c r="R5" s="155"/>
    </row>
    <row r="6" spans="1:18" ht="30" customHeight="1">
      <c r="A6" s="155" t="s">
        <v>119</v>
      </c>
      <c r="B6" s="155"/>
      <c r="D6" s="1" t="s">
        <v>120</v>
      </c>
      <c r="F6" s="1" t="s">
        <v>111</v>
      </c>
      <c r="H6" s="1" t="s">
        <v>112</v>
      </c>
      <c r="J6" s="1" t="s">
        <v>46</v>
      </c>
      <c r="L6" s="1" t="s">
        <v>120</v>
      </c>
      <c r="N6" s="1" t="s">
        <v>111</v>
      </c>
      <c r="P6" s="1" t="s">
        <v>112</v>
      </c>
      <c r="R6" s="1" t="s">
        <v>46</v>
      </c>
    </row>
  </sheetData>
  <mergeCells count="7">
    <mergeCell ref="A6:B6"/>
    <mergeCell ref="A1:R1"/>
    <mergeCell ref="A2:R2"/>
    <mergeCell ref="A3:R3"/>
    <mergeCell ref="B4:R4"/>
    <mergeCell ref="D5:J5"/>
    <mergeCell ref="L5:R5"/>
  </mergeCells>
  <pageMargins left="0.39" right="0.39" top="0.39" bottom="0.39" header="0" footer="0"/>
  <pageSetup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  <pageSetUpPr fitToPage="1"/>
  </sheetPr>
  <dimension ref="A1:Q8"/>
  <sheetViews>
    <sheetView rightToLeft="1" view="pageBreakPreview" zoomScaleNormal="100" zoomScaleSheetLayoutView="100" workbookViewId="0">
      <selection activeCell="T18" sqref="T18"/>
    </sheetView>
  </sheetViews>
  <sheetFormatPr defaultRowHeight="30" customHeight="1"/>
  <cols>
    <col min="1" max="1" width="7.7109375" style="8" customWidth="1"/>
    <col min="2" max="2" width="5.140625" style="8" customWidth="1"/>
    <col min="3" max="3" width="1.28515625" style="8" customWidth="1"/>
    <col min="4" max="4" width="13" style="8" customWidth="1"/>
    <col min="5" max="5" width="1.28515625" style="8" customWidth="1"/>
    <col min="6" max="6" width="14.28515625" style="8" customWidth="1"/>
    <col min="7" max="7" width="1.28515625" style="8" customWidth="1"/>
    <col min="8" max="8" width="13" style="8" customWidth="1"/>
    <col min="9" max="9" width="1.28515625" style="8" customWidth="1"/>
    <col min="10" max="10" width="10.42578125" style="8" customWidth="1"/>
    <col min="11" max="11" width="9.140625" style="8" customWidth="1"/>
    <col min="12" max="12" width="1.28515625" style="8" customWidth="1"/>
    <col min="13" max="13" width="27.85546875" style="8" customWidth="1"/>
    <col min="14" max="14" width="1.28515625" style="8" customWidth="1"/>
    <col min="15" max="15" width="14.28515625" style="8" customWidth="1"/>
    <col min="16" max="16" width="1.28515625" style="8" customWidth="1"/>
    <col min="17" max="17" width="24" style="8" customWidth="1"/>
    <col min="18" max="18" width="0.28515625" style="18" customWidth="1"/>
    <col min="19" max="16384" width="9.140625" style="18"/>
  </cols>
  <sheetData>
    <row r="1" spans="1:17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7" ht="30" customHeight="1">
      <c r="A2" s="153" t="s">
        <v>182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7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</row>
    <row r="4" spans="1:17" s="33" customFormat="1" ht="30" customHeight="1">
      <c r="A4" s="17" t="s">
        <v>121</v>
      </c>
      <c r="B4" s="154" t="s">
        <v>122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17" ht="30" customHeight="1">
      <c r="A5" s="153" t="s">
        <v>125</v>
      </c>
      <c r="B5" s="153"/>
      <c r="D5" s="153" t="s">
        <v>126</v>
      </c>
      <c r="F5" s="153" t="s">
        <v>127</v>
      </c>
      <c r="H5" s="153" t="s">
        <v>57</v>
      </c>
      <c r="J5" s="153" t="s">
        <v>128</v>
      </c>
      <c r="K5" s="153"/>
      <c r="M5" s="176" t="s">
        <v>123</v>
      </c>
      <c r="O5" s="153" t="s">
        <v>129</v>
      </c>
      <c r="Q5" s="176" t="s">
        <v>124</v>
      </c>
    </row>
    <row r="6" spans="1:17" ht="13.5" customHeight="1">
      <c r="A6" s="162"/>
      <c r="B6" s="162"/>
      <c r="D6" s="162"/>
      <c r="F6" s="162"/>
      <c r="H6" s="162"/>
      <c r="J6" s="162"/>
      <c r="K6" s="162"/>
      <c r="M6" s="176"/>
      <c r="O6" s="162"/>
      <c r="Q6" s="176"/>
    </row>
    <row r="7" spans="1:17" ht="30" customHeight="1">
      <c r="A7" s="157"/>
      <c r="B7" s="156"/>
      <c r="D7" s="21"/>
      <c r="F7" s="21"/>
      <c r="H7" s="9"/>
      <c r="J7" s="9"/>
      <c r="K7" s="9"/>
      <c r="M7" s="9"/>
      <c r="O7" s="9"/>
      <c r="Q7" s="9"/>
    </row>
    <row r="8" spans="1:17" ht="30" customHeight="1">
      <c r="A8" s="9"/>
    </row>
  </sheetData>
  <mergeCells count="13">
    <mergeCell ref="A7:B7"/>
    <mergeCell ref="A1:Q1"/>
    <mergeCell ref="A2:Q2"/>
    <mergeCell ref="A3:Q3"/>
    <mergeCell ref="B4:Q4"/>
    <mergeCell ref="M5:M6"/>
    <mergeCell ref="Q5:Q6"/>
    <mergeCell ref="O5:O6"/>
    <mergeCell ref="J5:K6"/>
    <mergeCell ref="H5:H6"/>
    <mergeCell ref="F5:F6"/>
    <mergeCell ref="D5:D6"/>
    <mergeCell ref="A5:B6"/>
  </mergeCells>
  <pageMargins left="0.39" right="0.39" top="0.39" bottom="0.39" header="0" footer="0"/>
  <pageSetup scale="8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J10"/>
  <sheetViews>
    <sheetView rightToLeft="1" view="pageBreakPreview" zoomScaleNormal="100" zoomScaleSheetLayoutView="100" workbookViewId="0">
      <selection activeCell="H12" sqref="H12"/>
    </sheetView>
  </sheetViews>
  <sheetFormatPr defaultRowHeight="30" customHeight="1"/>
  <cols>
    <col min="1" max="1" width="5.140625" style="18" customWidth="1"/>
    <col min="2" max="2" width="34.140625" style="18" customWidth="1"/>
    <col min="3" max="3" width="1.28515625" style="18" customWidth="1"/>
    <col min="4" max="4" width="19.42578125" style="18" customWidth="1"/>
    <col min="5" max="5" width="1.28515625" style="18" customWidth="1"/>
    <col min="6" max="6" width="13.5703125" style="18" customWidth="1"/>
    <col min="7" max="7" width="1.28515625" style="18" customWidth="1"/>
    <col min="8" max="8" width="19.42578125" style="18" customWidth="1"/>
    <col min="9" max="9" width="1.28515625" style="18" customWidth="1"/>
    <col min="10" max="10" width="15.7109375" style="18" customWidth="1"/>
    <col min="11" max="11" width="0.28515625" style="18" customWidth="1"/>
    <col min="12" max="16384" width="9.140625" style="18"/>
  </cols>
  <sheetData>
    <row r="1" spans="1:10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30" customHeight="1">
      <c r="A2" s="153" t="s">
        <v>182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0" ht="30" customHeight="1">
      <c r="A4" s="17" t="s">
        <v>130</v>
      </c>
      <c r="B4" s="154" t="s">
        <v>131</v>
      </c>
      <c r="C4" s="154"/>
      <c r="D4" s="154"/>
      <c r="E4" s="154"/>
      <c r="F4" s="154"/>
      <c r="G4" s="154"/>
      <c r="H4" s="154"/>
      <c r="I4" s="154"/>
      <c r="J4" s="154"/>
    </row>
    <row r="5" spans="1:10" ht="30" customHeight="1">
      <c r="D5" s="155" t="s">
        <v>108</v>
      </c>
      <c r="E5" s="155"/>
      <c r="F5" s="155"/>
      <c r="H5" s="155" t="s">
        <v>109</v>
      </c>
      <c r="I5" s="155"/>
      <c r="J5" s="155"/>
    </row>
    <row r="6" spans="1:10" ht="42.75" customHeight="1">
      <c r="A6" s="155" t="s">
        <v>132</v>
      </c>
      <c r="B6" s="155"/>
      <c r="D6" s="7" t="s">
        <v>133</v>
      </c>
      <c r="E6" s="19"/>
      <c r="F6" s="7" t="s">
        <v>134</v>
      </c>
      <c r="H6" s="7" t="s">
        <v>133</v>
      </c>
      <c r="I6" s="19"/>
      <c r="J6" s="7" t="s">
        <v>134</v>
      </c>
    </row>
    <row r="7" spans="1:10" ht="30" customHeight="1">
      <c r="A7" s="158" t="s">
        <v>88</v>
      </c>
      <c r="B7" s="158"/>
      <c r="C7" s="8"/>
      <c r="D7" s="10">
        <v>17864</v>
      </c>
      <c r="E7" s="8"/>
      <c r="F7" s="11"/>
      <c r="G7" s="8"/>
      <c r="H7" s="10">
        <v>537350</v>
      </c>
      <c r="J7" s="3"/>
    </row>
    <row r="8" spans="1:10" ht="30" customHeight="1">
      <c r="A8" s="159" t="s">
        <v>89</v>
      </c>
      <c r="B8" s="159"/>
      <c r="C8" s="8"/>
      <c r="D8" s="12">
        <v>15926</v>
      </c>
      <c r="E8" s="8"/>
      <c r="F8" s="13"/>
      <c r="G8" s="8"/>
      <c r="H8" s="12">
        <v>190580832</v>
      </c>
      <c r="J8" s="4"/>
    </row>
    <row r="9" spans="1:10" ht="30" customHeight="1">
      <c r="A9" s="159" t="s">
        <v>90</v>
      </c>
      <c r="B9" s="159"/>
      <c r="C9" s="8"/>
      <c r="D9" s="14">
        <v>69990</v>
      </c>
      <c r="E9" s="8"/>
      <c r="F9" s="15"/>
      <c r="G9" s="8"/>
      <c r="H9" s="14">
        <v>436748</v>
      </c>
      <c r="J9" s="5"/>
    </row>
    <row r="10" spans="1:10" s="34" customFormat="1" ht="30" customHeight="1">
      <c r="A10" s="153" t="s">
        <v>46</v>
      </c>
      <c r="B10" s="153"/>
      <c r="C10" s="22"/>
      <c r="D10" s="28">
        <f>SUM(D7:D9)</f>
        <v>103780</v>
      </c>
      <c r="E10" s="22"/>
      <c r="F10" s="28"/>
      <c r="G10" s="22"/>
      <c r="H10" s="28">
        <f>SUM(H7:H9)</f>
        <v>191554930</v>
      </c>
      <c r="J10" s="35"/>
    </row>
  </sheetData>
  <mergeCells count="11">
    <mergeCell ref="A6:B6"/>
    <mergeCell ref="A7:B7"/>
    <mergeCell ref="A8:B8"/>
    <mergeCell ref="A9:B9"/>
    <mergeCell ref="A10:B10"/>
    <mergeCell ref="A1:J1"/>
    <mergeCell ref="A2:J2"/>
    <mergeCell ref="A3:J3"/>
    <mergeCell ref="B4:J4"/>
    <mergeCell ref="D5:F5"/>
    <mergeCell ref="H5:J5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1"/>
  <sheetViews>
    <sheetView rightToLeft="1" view="pageBreakPreview" zoomScaleNormal="100" zoomScaleSheetLayoutView="100" workbookViewId="0">
      <selection activeCell="F9" sqref="F9"/>
    </sheetView>
  </sheetViews>
  <sheetFormatPr defaultRowHeight="30" customHeight="1"/>
  <cols>
    <col min="1" max="1" width="5.140625" style="8" customWidth="1"/>
    <col min="2" max="2" width="41.5703125" style="8" customWidth="1"/>
    <col min="3" max="3" width="1.28515625" style="8" customWidth="1"/>
    <col min="4" max="4" width="19.42578125" style="8" customWidth="1"/>
    <col min="5" max="5" width="1.28515625" style="8" customWidth="1"/>
    <col min="6" max="6" width="19.42578125" style="8" customWidth="1"/>
    <col min="7" max="7" width="0.28515625" style="18" customWidth="1"/>
    <col min="8" max="16384" width="9.140625" style="18"/>
  </cols>
  <sheetData>
    <row r="1" spans="1:6" ht="30" customHeight="1">
      <c r="A1" s="153" t="s">
        <v>184</v>
      </c>
      <c r="B1" s="153"/>
      <c r="C1" s="153"/>
      <c r="D1" s="153"/>
      <c r="E1" s="153"/>
      <c r="F1" s="153"/>
    </row>
    <row r="2" spans="1:6" ht="30" customHeight="1">
      <c r="A2" s="153" t="s">
        <v>183</v>
      </c>
      <c r="B2" s="153"/>
      <c r="C2" s="153"/>
      <c r="D2" s="153"/>
      <c r="E2" s="153"/>
      <c r="F2" s="153"/>
    </row>
    <row r="3" spans="1:6" ht="30" customHeight="1">
      <c r="A3" s="153" t="s">
        <v>226</v>
      </c>
      <c r="B3" s="153"/>
      <c r="C3" s="153"/>
      <c r="D3" s="153"/>
      <c r="E3" s="153"/>
      <c r="F3" s="153"/>
    </row>
    <row r="5" spans="1:6" s="33" customFormat="1" ht="30" customHeight="1">
      <c r="A5" s="17" t="s">
        <v>135</v>
      </c>
      <c r="B5" s="154" t="s">
        <v>106</v>
      </c>
      <c r="C5" s="154"/>
      <c r="D5" s="154"/>
      <c r="E5" s="154"/>
      <c r="F5" s="154"/>
    </row>
    <row r="6" spans="1:6" ht="30" customHeight="1">
      <c r="D6" s="1" t="s">
        <v>108</v>
      </c>
      <c r="F6" s="1" t="s">
        <v>227</v>
      </c>
    </row>
    <row r="7" spans="1:6" ht="30" customHeight="1">
      <c r="A7" s="155" t="s">
        <v>106</v>
      </c>
      <c r="B7" s="155"/>
      <c r="D7" s="2" t="s">
        <v>85</v>
      </c>
      <c r="F7" s="2" t="s">
        <v>85</v>
      </c>
    </row>
    <row r="8" spans="1:6" ht="30" customHeight="1">
      <c r="A8" s="167" t="s">
        <v>106</v>
      </c>
      <c r="B8" s="167"/>
      <c r="D8" s="12">
        <v>0</v>
      </c>
      <c r="F8" s="10">
        <v>6769849428</v>
      </c>
    </row>
    <row r="9" spans="1:6" ht="30" customHeight="1">
      <c r="A9" s="168" t="s">
        <v>136</v>
      </c>
      <c r="B9" s="168"/>
      <c r="D9" s="12">
        <v>0</v>
      </c>
      <c r="F9" s="12">
        <v>0</v>
      </c>
    </row>
    <row r="10" spans="1:6" ht="30" customHeight="1">
      <c r="A10" s="168" t="s">
        <v>137</v>
      </c>
      <c r="B10" s="168"/>
      <c r="D10" s="14">
        <v>282616316</v>
      </c>
      <c r="F10" s="14">
        <v>291777853</v>
      </c>
    </row>
    <row r="11" spans="1:6" ht="30" customHeight="1">
      <c r="A11" s="153" t="s">
        <v>46</v>
      </c>
      <c r="B11" s="153"/>
      <c r="D11" s="16">
        <f>D8+D9+D10</f>
        <v>282616316</v>
      </c>
      <c r="F11" s="16">
        <f>SUM(F8:F10)</f>
        <v>7061627281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6" tint="0.79998168889431442"/>
    <pageSetUpPr fitToPage="1"/>
  </sheetPr>
  <dimension ref="A1:S32"/>
  <sheetViews>
    <sheetView rightToLeft="1" view="pageBreakPreview" zoomScale="50" zoomScaleNormal="100" zoomScaleSheetLayoutView="50" workbookViewId="0">
      <selection activeCell="E33" sqref="E33"/>
    </sheetView>
  </sheetViews>
  <sheetFormatPr defaultRowHeight="30" customHeight="1"/>
  <cols>
    <col min="1" max="1" width="39" style="8" customWidth="1"/>
    <col min="2" max="2" width="1.28515625" style="8" customWidth="1"/>
    <col min="3" max="3" width="16.85546875" style="8" customWidth="1"/>
    <col min="4" max="4" width="1.28515625" style="8" customWidth="1"/>
    <col min="5" max="5" width="20.7109375" style="8" customWidth="1"/>
    <col min="6" max="6" width="1.28515625" style="8" customWidth="1"/>
    <col min="7" max="7" width="15.5703125" style="8" customWidth="1"/>
    <col min="8" max="8" width="1.28515625" style="8" customWidth="1"/>
    <col min="9" max="9" width="17.7109375" style="8" customWidth="1"/>
    <col min="10" max="10" width="1.28515625" style="8" customWidth="1"/>
    <col min="11" max="11" width="16.7109375" style="8" customWidth="1"/>
    <col min="12" max="12" width="1.28515625" style="8" customWidth="1"/>
    <col min="13" max="13" width="15.5703125" style="8" customWidth="1"/>
    <col min="14" max="14" width="1.28515625" style="8" customWidth="1"/>
    <col min="15" max="15" width="18.7109375" style="8" customWidth="1"/>
    <col min="16" max="16" width="1.28515625" style="8" customWidth="1"/>
    <col min="17" max="17" width="19.7109375" style="38" customWidth="1"/>
    <col min="18" max="18" width="1.28515625" style="8" customWidth="1"/>
    <col min="19" max="19" width="18.5703125" style="8" customWidth="1"/>
    <col min="20" max="20" width="0.28515625" style="18" customWidth="1"/>
    <col min="21" max="16384" width="9.140625" style="18"/>
  </cols>
  <sheetData>
    <row r="1" spans="1:19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30" customHeight="1">
      <c r="A2" s="153" t="s">
        <v>182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19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</row>
    <row r="4" spans="1:19" ht="30" customHeight="1">
      <c r="A4" s="154" t="s">
        <v>110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</row>
    <row r="5" spans="1:19" ht="30" customHeight="1">
      <c r="A5" s="155" t="s">
        <v>48</v>
      </c>
      <c r="C5" s="155" t="s">
        <v>138</v>
      </c>
      <c r="D5" s="155"/>
      <c r="E5" s="155"/>
      <c r="F5" s="155"/>
      <c r="G5" s="155"/>
      <c r="I5" s="155" t="s">
        <v>108</v>
      </c>
      <c r="J5" s="155"/>
      <c r="K5" s="155"/>
      <c r="L5" s="155"/>
      <c r="M5" s="155"/>
      <c r="O5" s="155" t="s">
        <v>109</v>
      </c>
      <c r="P5" s="155"/>
      <c r="Q5" s="155"/>
      <c r="R5" s="155"/>
      <c r="S5" s="155"/>
    </row>
    <row r="6" spans="1:19" ht="41.25" customHeight="1">
      <c r="A6" s="155"/>
      <c r="C6" s="86" t="s">
        <v>139</v>
      </c>
      <c r="D6" s="87"/>
      <c r="E6" s="86" t="s">
        <v>140</v>
      </c>
      <c r="F6" s="87"/>
      <c r="G6" s="86" t="s">
        <v>141</v>
      </c>
      <c r="I6" s="7" t="s">
        <v>142</v>
      </c>
      <c r="J6" s="9"/>
      <c r="K6" s="7" t="s">
        <v>143</v>
      </c>
      <c r="L6" s="9"/>
      <c r="M6" s="7" t="s">
        <v>144</v>
      </c>
      <c r="O6" s="7" t="s">
        <v>142</v>
      </c>
      <c r="P6" s="9"/>
      <c r="Q6" s="88" t="s">
        <v>143</v>
      </c>
      <c r="R6" s="9"/>
      <c r="S6" s="116" t="s">
        <v>144</v>
      </c>
    </row>
    <row r="7" spans="1:19" ht="30" customHeight="1">
      <c r="A7" s="36" t="s">
        <v>39</v>
      </c>
      <c r="C7" s="87" t="s">
        <v>145</v>
      </c>
      <c r="D7" s="20"/>
      <c r="E7" s="89">
        <v>30514927</v>
      </c>
      <c r="F7" s="20"/>
      <c r="G7" s="89">
        <v>40</v>
      </c>
      <c r="I7" s="10">
        <v>0</v>
      </c>
      <c r="K7" s="10">
        <v>0</v>
      </c>
      <c r="M7" s="10">
        <v>0</v>
      </c>
      <c r="O7" s="10">
        <v>1220597080</v>
      </c>
      <c r="Q7" s="82">
        <v>0</v>
      </c>
      <c r="S7" s="12">
        <f>O7+Q7</f>
        <v>1220597080</v>
      </c>
    </row>
    <row r="8" spans="1:19" ht="30" customHeight="1">
      <c r="A8" s="37" t="s">
        <v>210</v>
      </c>
      <c r="C8" s="20" t="s">
        <v>6</v>
      </c>
      <c r="D8" s="20"/>
      <c r="E8" s="90">
        <v>60439089</v>
      </c>
      <c r="F8" s="20"/>
      <c r="G8" s="90">
        <v>360</v>
      </c>
      <c r="I8" s="12">
        <v>0</v>
      </c>
      <c r="K8" s="12">
        <v>0</v>
      </c>
      <c r="M8" s="12">
        <v>0</v>
      </c>
      <c r="O8" s="12">
        <v>21758072040</v>
      </c>
      <c r="Q8" s="83">
        <v>0</v>
      </c>
      <c r="S8" s="12">
        <f t="shared" ref="S8:S27" si="0">O8+Q8</f>
        <v>21758072040</v>
      </c>
    </row>
    <row r="9" spans="1:19" ht="30" customHeight="1">
      <c r="A9" s="37" t="s">
        <v>217</v>
      </c>
      <c r="C9" s="20" t="s">
        <v>146</v>
      </c>
      <c r="D9" s="20"/>
      <c r="E9" s="90">
        <v>38815909</v>
      </c>
      <c r="F9" s="20"/>
      <c r="G9" s="90">
        <v>350</v>
      </c>
      <c r="I9" s="12">
        <v>0</v>
      </c>
      <c r="K9" s="12">
        <v>0</v>
      </c>
      <c r="M9" s="12">
        <v>0</v>
      </c>
      <c r="O9" s="12">
        <v>13585568150</v>
      </c>
      <c r="Q9" s="83">
        <v>0</v>
      </c>
      <c r="S9" s="12">
        <f t="shared" si="0"/>
        <v>13585568150</v>
      </c>
    </row>
    <row r="10" spans="1:19" ht="30" customHeight="1">
      <c r="A10" s="37" t="s">
        <v>207</v>
      </c>
      <c r="C10" s="20" t="s">
        <v>208</v>
      </c>
      <c r="D10" s="20"/>
      <c r="E10" s="90">
        <v>20600253</v>
      </c>
      <c r="F10" s="20"/>
      <c r="G10" s="90">
        <v>80</v>
      </c>
      <c r="I10" s="12">
        <v>0</v>
      </c>
      <c r="K10" s="83">
        <v>0</v>
      </c>
      <c r="M10" s="12">
        <v>0</v>
      </c>
      <c r="O10" s="12">
        <v>1648020240</v>
      </c>
      <c r="Q10" s="83">
        <v>-179985127</v>
      </c>
      <c r="S10" s="12">
        <f t="shared" si="0"/>
        <v>1468035113</v>
      </c>
    </row>
    <row r="11" spans="1:19" ht="30" customHeight="1">
      <c r="A11" s="37" t="s">
        <v>218</v>
      </c>
      <c r="C11" s="20" t="s">
        <v>6</v>
      </c>
      <c r="D11" s="20"/>
      <c r="E11" s="90">
        <v>11750844</v>
      </c>
      <c r="F11" s="20"/>
      <c r="G11" s="90">
        <v>1000</v>
      </c>
      <c r="I11" s="12">
        <v>0</v>
      </c>
      <c r="K11" s="12">
        <v>0</v>
      </c>
      <c r="M11" s="12">
        <v>0</v>
      </c>
      <c r="O11" s="12">
        <v>11750844000</v>
      </c>
      <c r="Q11" s="83">
        <v>0</v>
      </c>
      <c r="S11" s="12">
        <f t="shared" si="0"/>
        <v>11750844000</v>
      </c>
    </row>
    <row r="12" spans="1:19" ht="30" customHeight="1">
      <c r="A12" s="37" t="s">
        <v>18</v>
      </c>
      <c r="C12" s="20" t="s">
        <v>6</v>
      </c>
      <c r="D12" s="20"/>
      <c r="E12" s="90">
        <v>296399961</v>
      </c>
      <c r="F12" s="20"/>
      <c r="G12" s="90">
        <v>11</v>
      </c>
      <c r="I12" s="12">
        <v>0</v>
      </c>
      <c r="K12" s="12">
        <v>0</v>
      </c>
      <c r="M12" s="12">
        <v>0</v>
      </c>
      <c r="O12" s="12">
        <v>3260399571</v>
      </c>
      <c r="Q12" s="83">
        <v>0</v>
      </c>
      <c r="S12" s="12">
        <f t="shared" si="0"/>
        <v>3260399571</v>
      </c>
    </row>
    <row r="13" spans="1:19" ht="30" customHeight="1">
      <c r="A13" s="37" t="s">
        <v>38</v>
      </c>
      <c r="C13" s="20" t="s">
        <v>6</v>
      </c>
      <c r="D13" s="20"/>
      <c r="E13" s="90">
        <v>5329540</v>
      </c>
      <c r="F13" s="20"/>
      <c r="G13" s="90">
        <v>350</v>
      </c>
      <c r="I13" s="12">
        <v>0</v>
      </c>
      <c r="K13" s="12">
        <v>0</v>
      </c>
      <c r="M13" s="12">
        <v>0</v>
      </c>
      <c r="O13" s="12">
        <v>1865339000</v>
      </c>
      <c r="Q13" s="83">
        <v>0</v>
      </c>
      <c r="S13" s="12">
        <f t="shared" si="0"/>
        <v>1865339000</v>
      </c>
    </row>
    <row r="14" spans="1:19" ht="30" customHeight="1">
      <c r="A14" s="37" t="s">
        <v>17</v>
      </c>
      <c r="C14" s="20" t="s">
        <v>147</v>
      </c>
      <c r="D14" s="20"/>
      <c r="E14" s="90">
        <v>8099986</v>
      </c>
      <c r="F14" s="20"/>
      <c r="G14" s="90">
        <v>650</v>
      </c>
      <c r="I14" s="12">
        <v>0</v>
      </c>
      <c r="K14" s="12">
        <v>0</v>
      </c>
      <c r="M14" s="12">
        <v>0</v>
      </c>
      <c r="O14" s="12">
        <v>5264990900</v>
      </c>
      <c r="Q14" s="83">
        <v>0</v>
      </c>
      <c r="S14" s="12">
        <f t="shared" si="0"/>
        <v>5264990900</v>
      </c>
    </row>
    <row r="15" spans="1:19" ht="30" customHeight="1">
      <c r="A15" s="37" t="s">
        <v>20</v>
      </c>
      <c r="C15" s="20" t="s">
        <v>147</v>
      </c>
      <c r="D15" s="20"/>
      <c r="E15" s="90">
        <v>3382441</v>
      </c>
      <c r="F15" s="20"/>
      <c r="G15" s="90">
        <v>2280</v>
      </c>
      <c r="I15" s="12">
        <v>0</v>
      </c>
      <c r="K15" s="12">
        <v>0</v>
      </c>
      <c r="M15" s="12">
        <v>0</v>
      </c>
      <c r="O15" s="12">
        <v>7711965480</v>
      </c>
      <c r="Q15" s="83">
        <v>0</v>
      </c>
      <c r="S15" s="12">
        <f>O15+Q15</f>
        <v>7711965480</v>
      </c>
    </row>
    <row r="16" spans="1:19" ht="30" customHeight="1">
      <c r="A16" s="37" t="s">
        <v>44</v>
      </c>
      <c r="C16" s="20" t="s">
        <v>148</v>
      </c>
      <c r="D16" s="20"/>
      <c r="E16" s="90">
        <v>13500000</v>
      </c>
      <c r="F16" s="20"/>
      <c r="G16" s="90">
        <v>27</v>
      </c>
      <c r="I16" s="12">
        <v>0</v>
      </c>
      <c r="K16" s="12">
        <v>0</v>
      </c>
      <c r="M16" s="12">
        <v>0</v>
      </c>
      <c r="O16" s="12">
        <v>364500000</v>
      </c>
      <c r="Q16" s="83">
        <v>0</v>
      </c>
      <c r="S16" s="12">
        <f t="shared" si="0"/>
        <v>364500000</v>
      </c>
    </row>
    <row r="17" spans="1:19" ht="30" customHeight="1">
      <c r="A17" s="37" t="s">
        <v>36</v>
      </c>
      <c r="C17" s="20" t="s">
        <v>149</v>
      </c>
      <c r="D17" s="20"/>
      <c r="E17" s="90">
        <v>300000</v>
      </c>
      <c r="F17" s="20"/>
      <c r="G17" s="90">
        <v>1160</v>
      </c>
      <c r="I17" s="12">
        <v>0</v>
      </c>
      <c r="K17" s="12">
        <v>0</v>
      </c>
      <c r="M17" s="12">
        <v>0</v>
      </c>
      <c r="O17" s="12">
        <v>348000000</v>
      </c>
      <c r="Q17" s="83">
        <v>0</v>
      </c>
      <c r="S17" s="12">
        <f t="shared" si="0"/>
        <v>348000000</v>
      </c>
    </row>
    <row r="18" spans="1:19" ht="30" customHeight="1">
      <c r="A18" s="37" t="s">
        <v>42</v>
      </c>
      <c r="C18" s="20" t="s">
        <v>147</v>
      </c>
      <c r="D18" s="20"/>
      <c r="E18" s="90">
        <v>8000000</v>
      </c>
      <c r="F18" s="20"/>
      <c r="G18" s="90">
        <v>380</v>
      </c>
      <c r="I18" s="12">
        <v>0</v>
      </c>
      <c r="K18" s="12">
        <v>0</v>
      </c>
      <c r="M18" s="12">
        <v>0</v>
      </c>
      <c r="O18" s="12">
        <v>3040000000</v>
      </c>
      <c r="Q18" s="83">
        <v>0</v>
      </c>
      <c r="S18" s="12">
        <f t="shared" si="0"/>
        <v>3040000000</v>
      </c>
    </row>
    <row r="19" spans="1:19" ht="30" customHeight="1">
      <c r="A19" s="37" t="s">
        <v>45</v>
      </c>
      <c r="C19" s="20" t="s">
        <v>150</v>
      </c>
      <c r="D19" s="20"/>
      <c r="E19" s="90">
        <v>1048946</v>
      </c>
      <c r="F19" s="20"/>
      <c r="G19" s="90">
        <v>75</v>
      </c>
      <c r="I19" s="12">
        <v>0</v>
      </c>
      <c r="K19" s="12">
        <v>0</v>
      </c>
      <c r="M19" s="12">
        <v>0</v>
      </c>
      <c r="O19" s="12">
        <v>78670950</v>
      </c>
      <c r="Q19" s="83">
        <v>0</v>
      </c>
      <c r="S19" s="12">
        <f t="shared" si="0"/>
        <v>78670950</v>
      </c>
    </row>
    <row r="20" spans="1:19" ht="30" customHeight="1">
      <c r="A20" s="37" t="s">
        <v>33</v>
      </c>
      <c r="C20" s="20" t="s">
        <v>6</v>
      </c>
      <c r="D20" s="20"/>
      <c r="E20" s="90">
        <v>31445210</v>
      </c>
      <c r="F20" s="20"/>
      <c r="G20" s="90">
        <v>50</v>
      </c>
      <c r="I20" s="12">
        <v>0</v>
      </c>
      <c r="K20" s="12">
        <v>0</v>
      </c>
      <c r="M20" s="12">
        <v>0</v>
      </c>
      <c r="O20" s="12">
        <v>1572260500</v>
      </c>
      <c r="Q20" s="83">
        <v>0</v>
      </c>
      <c r="S20" s="12">
        <f t="shared" si="0"/>
        <v>1572260500</v>
      </c>
    </row>
    <row r="21" spans="1:19" ht="30" customHeight="1">
      <c r="A21" s="37" t="s">
        <v>31</v>
      </c>
      <c r="C21" s="20" t="s">
        <v>146</v>
      </c>
      <c r="D21" s="20"/>
      <c r="E21" s="90">
        <v>43500000</v>
      </c>
      <c r="F21" s="20"/>
      <c r="G21" s="90">
        <v>550</v>
      </c>
      <c r="I21" s="12">
        <v>0</v>
      </c>
      <c r="K21" s="12">
        <v>0</v>
      </c>
      <c r="M21" s="12">
        <v>0</v>
      </c>
      <c r="O21" s="12">
        <v>23925000000</v>
      </c>
      <c r="Q21" s="83">
        <v>0</v>
      </c>
      <c r="S21" s="12">
        <f t="shared" si="0"/>
        <v>23925000000</v>
      </c>
    </row>
    <row r="22" spans="1:19" ht="30" customHeight="1">
      <c r="A22" s="37" t="s">
        <v>19</v>
      </c>
      <c r="C22" s="20" t="s">
        <v>147</v>
      </c>
      <c r="D22" s="20"/>
      <c r="E22" s="90">
        <v>14391845</v>
      </c>
      <c r="F22" s="20"/>
      <c r="G22" s="90">
        <v>248</v>
      </c>
      <c r="I22" s="12">
        <v>0</v>
      </c>
      <c r="K22" s="12">
        <v>0</v>
      </c>
      <c r="M22" s="12">
        <v>0</v>
      </c>
      <c r="O22" s="12">
        <v>3569177560</v>
      </c>
      <c r="Q22" s="83">
        <v>0</v>
      </c>
      <c r="S22" s="12">
        <f t="shared" si="0"/>
        <v>3569177560</v>
      </c>
    </row>
    <row r="23" spans="1:19" ht="30" customHeight="1">
      <c r="A23" s="37" t="s">
        <v>16</v>
      </c>
      <c r="C23" s="20" t="s">
        <v>6</v>
      </c>
      <c r="D23" s="20"/>
      <c r="E23" s="90">
        <v>75</v>
      </c>
      <c r="F23" s="20"/>
      <c r="G23" s="90">
        <v>7000</v>
      </c>
      <c r="I23" s="12">
        <v>0</v>
      </c>
      <c r="K23" s="12">
        <v>0</v>
      </c>
      <c r="M23" s="12">
        <v>0</v>
      </c>
      <c r="O23" s="12">
        <v>525000</v>
      </c>
      <c r="Q23" s="83">
        <v>0</v>
      </c>
      <c r="S23" s="12">
        <f t="shared" si="0"/>
        <v>525000</v>
      </c>
    </row>
    <row r="24" spans="1:19" ht="30" customHeight="1">
      <c r="A24" s="37" t="s">
        <v>35</v>
      </c>
      <c r="C24" s="20" t="s">
        <v>147</v>
      </c>
      <c r="D24" s="20"/>
      <c r="E24" s="90">
        <v>7153912</v>
      </c>
      <c r="F24" s="20"/>
      <c r="G24" s="90">
        <v>1000</v>
      </c>
      <c r="I24" s="12">
        <v>0</v>
      </c>
      <c r="K24" s="12">
        <v>0</v>
      </c>
      <c r="M24" s="12">
        <v>0</v>
      </c>
      <c r="O24" s="12">
        <v>7153912000</v>
      </c>
      <c r="Q24" s="83">
        <v>0</v>
      </c>
      <c r="S24" s="12">
        <f>O24+Q24</f>
        <v>7153912000</v>
      </c>
    </row>
    <row r="25" spans="1:19" ht="30" customHeight="1">
      <c r="A25" s="37" t="s">
        <v>41</v>
      </c>
      <c r="C25" s="20" t="s">
        <v>209</v>
      </c>
      <c r="D25" s="20"/>
      <c r="E25" s="90">
        <v>19700000</v>
      </c>
      <c r="F25" s="20"/>
      <c r="G25" s="90">
        <v>28</v>
      </c>
      <c r="I25" s="12">
        <v>0</v>
      </c>
      <c r="K25" s="12">
        <v>0</v>
      </c>
      <c r="M25" s="12">
        <f>I25</f>
        <v>0</v>
      </c>
      <c r="O25" s="12">
        <v>19700000</v>
      </c>
      <c r="Q25" s="83">
        <v>0</v>
      </c>
      <c r="S25" s="12">
        <f t="shared" si="0"/>
        <v>19700000</v>
      </c>
    </row>
    <row r="26" spans="1:19" ht="30" customHeight="1">
      <c r="A26" s="37" t="s">
        <v>215</v>
      </c>
      <c r="C26" s="20" t="s">
        <v>221</v>
      </c>
      <c r="D26" s="20"/>
      <c r="E26" s="90">
        <v>400</v>
      </c>
      <c r="F26" s="20"/>
      <c r="G26" s="90">
        <v>315594</v>
      </c>
      <c r="I26" s="12">
        <v>0</v>
      </c>
      <c r="K26" s="83">
        <v>0</v>
      </c>
      <c r="M26" s="12">
        <v>0</v>
      </c>
      <c r="O26" s="12">
        <v>126237600</v>
      </c>
      <c r="Q26" s="83">
        <v>-6480033</v>
      </c>
      <c r="S26" s="12">
        <f t="shared" si="0"/>
        <v>119757567</v>
      </c>
    </row>
    <row r="27" spans="1:19" ht="30" customHeight="1">
      <c r="A27" s="37" t="s">
        <v>216</v>
      </c>
      <c r="C27" s="20" t="s">
        <v>198</v>
      </c>
      <c r="D27" s="20"/>
      <c r="E27" s="90">
        <v>46</v>
      </c>
      <c r="F27" s="20"/>
      <c r="G27" s="90">
        <v>5121186</v>
      </c>
      <c r="I27" s="12">
        <v>271060245</v>
      </c>
      <c r="K27" s="83">
        <v>-8402263</v>
      </c>
      <c r="M27" s="12">
        <f>I27</f>
        <v>271060245</v>
      </c>
      <c r="O27" s="12">
        <v>235574556</v>
      </c>
      <c r="Q27" s="83">
        <v>-8552212</v>
      </c>
      <c r="S27" s="12">
        <f t="shared" si="0"/>
        <v>227022344</v>
      </c>
    </row>
    <row r="28" spans="1:19" ht="30" customHeight="1" thickBot="1">
      <c r="A28" s="22" t="s">
        <v>46</v>
      </c>
      <c r="C28" s="12"/>
      <c r="E28" s="12"/>
      <c r="G28" s="12"/>
      <c r="I28" s="16">
        <f>SUM(I7:I27)</f>
        <v>271060245</v>
      </c>
      <c r="K28" s="118">
        <f>SUM(K7:K27)</f>
        <v>-8402263</v>
      </c>
      <c r="M28" s="16">
        <f>SUM(M7:M27)</f>
        <v>271060245</v>
      </c>
      <c r="O28" s="16">
        <f>SUM(O7:O27)</f>
        <v>108499354627</v>
      </c>
      <c r="Q28" s="120">
        <f>SUM(Q7:Q27)</f>
        <v>-195017372</v>
      </c>
      <c r="S28" s="122">
        <f>SUM(S7:S27)</f>
        <v>108304337255</v>
      </c>
    </row>
    <row r="29" spans="1:19" ht="30" customHeight="1" thickTop="1">
      <c r="Q29" s="83"/>
    </row>
    <row r="31" spans="1:19" ht="30" customHeight="1">
      <c r="O31" s="12"/>
    </row>
    <row r="32" spans="1:19" ht="30" customHeight="1">
      <c r="O32" s="12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0.79998168889431442"/>
    <pageSetUpPr fitToPage="1"/>
  </sheetPr>
  <dimension ref="A1:K6"/>
  <sheetViews>
    <sheetView rightToLeft="1" view="pageBreakPreview" zoomScale="99" zoomScaleNormal="100" zoomScaleSheetLayoutView="99" workbookViewId="0">
      <selection activeCell="E13" sqref="E13"/>
    </sheetView>
  </sheetViews>
  <sheetFormatPr defaultRowHeight="30" customHeight="1"/>
  <cols>
    <col min="1" max="1" width="16.28515625" style="18" customWidth="1"/>
    <col min="2" max="2" width="1.28515625" style="18" customWidth="1"/>
    <col min="3" max="3" width="16.85546875" style="18" customWidth="1"/>
    <col min="4" max="4" width="1.28515625" style="18" customWidth="1"/>
    <col min="5" max="5" width="20.7109375" style="18" customWidth="1"/>
    <col min="6" max="6" width="1.28515625" style="18" customWidth="1"/>
    <col min="7" max="7" width="15.5703125" style="18" customWidth="1"/>
    <col min="8" max="8" width="1.28515625" style="18" customWidth="1"/>
    <col min="9" max="9" width="17.7109375" style="18" customWidth="1"/>
    <col min="10" max="10" width="1.28515625" style="18" customWidth="1"/>
    <col min="11" max="11" width="17" style="18" customWidth="1"/>
    <col min="12" max="12" width="0.28515625" style="18" customWidth="1"/>
    <col min="13" max="16384" width="9.140625" style="18"/>
  </cols>
  <sheetData>
    <row r="1" spans="1:11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30" customHeight="1">
      <c r="A2" s="153" t="s">
        <v>182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ht="30" customHeight="1">
      <c r="A4" s="154" t="s">
        <v>117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</row>
    <row r="5" spans="1:11" ht="30" customHeight="1">
      <c r="I5" s="1" t="s">
        <v>108</v>
      </c>
      <c r="K5" s="1" t="s">
        <v>109</v>
      </c>
    </row>
    <row r="6" spans="1:11" ht="36.75" customHeight="1">
      <c r="A6" s="1" t="s">
        <v>151</v>
      </c>
      <c r="C6" s="6" t="s">
        <v>152</v>
      </c>
      <c r="E6" s="6" t="s">
        <v>153</v>
      </c>
      <c r="G6" s="6" t="s">
        <v>154</v>
      </c>
      <c r="I6" s="7" t="s">
        <v>155</v>
      </c>
      <c r="K6" s="7" t="s">
        <v>155</v>
      </c>
    </row>
  </sheetData>
  <mergeCells count="4">
    <mergeCell ref="A1:K1"/>
    <mergeCell ref="A2:K2"/>
    <mergeCell ref="A3:K3"/>
    <mergeCell ref="A4:K4"/>
  </mergeCells>
  <pageMargins left="0.39" right="0.39" top="0.39" bottom="0.39" header="0" footer="0"/>
  <pageSetup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6" tint="0.79998168889431442"/>
    <pageSetUpPr fitToPage="1"/>
  </sheetPr>
  <dimension ref="A1:S6"/>
  <sheetViews>
    <sheetView rightToLeft="1" view="pageBreakPreview" zoomScaleNormal="100" zoomScaleSheetLayoutView="100" zoomScalePageLayoutView="50" workbookViewId="0">
      <selection activeCell="C14" sqref="C14"/>
    </sheetView>
  </sheetViews>
  <sheetFormatPr defaultRowHeight="30" customHeight="1"/>
  <cols>
    <col min="1" max="1" width="39" style="18" customWidth="1"/>
    <col min="2" max="2" width="1.28515625" style="18" customWidth="1"/>
    <col min="3" max="3" width="16.85546875" style="18" customWidth="1"/>
    <col min="4" max="4" width="1.28515625" style="18" customWidth="1"/>
    <col min="5" max="5" width="15.5703125" style="18" customWidth="1"/>
    <col min="6" max="6" width="1.28515625" style="18" customWidth="1"/>
    <col min="7" max="7" width="20.7109375" style="18" customWidth="1"/>
    <col min="8" max="8" width="1.28515625" style="18" customWidth="1"/>
    <col min="9" max="9" width="14.28515625" style="18" customWidth="1"/>
    <col min="10" max="10" width="1.28515625" style="18" customWidth="1"/>
    <col min="11" max="11" width="10.42578125" style="18" customWidth="1"/>
    <col min="12" max="12" width="1.28515625" style="18" customWidth="1"/>
    <col min="13" max="13" width="15.5703125" style="18" customWidth="1"/>
    <col min="14" max="14" width="1.28515625" style="18" customWidth="1"/>
    <col min="15" max="15" width="14.28515625" style="18" customWidth="1"/>
    <col min="16" max="16" width="1.28515625" style="18" customWidth="1"/>
    <col min="17" max="17" width="10.42578125" style="18" customWidth="1"/>
    <col min="18" max="18" width="1.28515625" style="18" customWidth="1"/>
    <col min="19" max="19" width="15.5703125" style="18" customWidth="1"/>
    <col min="20" max="20" width="0.28515625" style="18" customWidth="1"/>
    <col min="21" max="16384" width="9.140625" style="18"/>
  </cols>
  <sheetData>
    <row r="1" spans="1:19" ht="30" customHeight="1">
      <c r="A1" s="153" t="s">
        <v>185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</row>
    <row r="2" spans="1:19" ht="30" customHeight="1">
      <c r="A2" s="153" t="s">
        <v>182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</row>
    <row r="3" spans="1:19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</row>
    <row r="4" spans="1:19" ht="30" customHeight="1">
      <c r="A4" s="154" t="s">
        <v>156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</row>
    <row r="5" spans="1:19" ht="30" customHeight="1">
      <c r="A5" s="155" t="s">
        <v>94</v>
      </c>
      <c r="C5" s="175" t="s">
        <v>157</v>
      </c>
      <c r="E5" s="175" t="s">
        <v>73</v>
      </c>
      <c r="G5" s="175" t="s">
        <v>158</v>
      </c>
      <c r="I5" s="155" t="s">
        <v>108</v>
      </c>
      <c r="J5" s="155"/>
      <c r="K5" s="155"/>
      <c r="L5" s="155"/>
      <c r="M5" s="155"/>
      <c r="O5" s="155" t="s">
        <v>109</v>
      </c>
      <c r="P5" s="155"/>
      <c r="Q5" s="155"/>
      <c r="R5" s="155"/>
      <c r="S5" s="155"/>
    </row>
    <row r="6" spans="1:19" ht="30" customHeight="1">
      <c r="A6" s="155"/>
      <c r="C6" s="161"/>
      <c r="E6" s="161"/>
      <c r="G6" s="161"/>
      <c r="I6" s="7" t="s">
        <v>159</v>
      </c>
      <c r="J6" s="19"/>
      <c r="K6" s="7" t="s">
        <v>143</v>
      </c>
      <c r="L6" s="19"/>
      <c r="M6" s="7" t="s">
        <v>160</v>
      </c>
      <c r="O6" s="7" t="s">
        <v>159</v>
      </c>
      <c r="P6" s="19"/>
      <c r="Q6" s="7" t="s">
        <v>143</v>
      </c>
      <c r="R6" s="19"/>
      <c r="S6" s="7" t="s">
        <v>160</v>
      </c>
    </row>
  </sheetData>
  <mergeCells count="10">
    <mergeCell ref="A1:S1"/>
    <mergeCell ref="A2:S2"/>
    <mergeCell ref="A3:S3"/>
    <mergeCell ref="A4:S4"/>
    <mergeCell ref="A5:A6"/>
    <mergeCell ref="I5:M5"/>
    <mergeCell ref="O5:S5"/>
    <mergeCell ref="C5:C6"/>
    <mergeCell ref="E5:E6"/>
    <mergeCell ref="G5:G6"/>
  </mergeCells>
  <pageMargins left="0.39" right="0.39" top="0.39" bottom="0.39" header="0" footer="0"/>
  <pageSetup scale="7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M10"/>
  <sheetViews>
    <sheetView rightToLeft="1" view="pageBreakPreview" zoomScaleNormal="100" zoomScaleSheetLayoutView="100" workbookViewId="0">
      <selection activeCell="E14" sqref="E14"/>
    </sheetView>
  </sheetViews>
  <sheetFormatPr defaultRowHeight="30" customHeight="1"/>
  <cols>
    <col min="1" max="1" width="39" style="8" customWidth="1"/>
    <col min="2" max="2" width="1.28515625" style="8" customWidth="1"/>
    <col min="3" max="3" width="14.28515625" style="8" customWidth="1"/>
    <col min="4" max="4" width="1.28515625" style="8" customWidth="1"/>
    <col min="5" max="5" width="10.42578125" style="8" customWidth="1"/>
    <col min="6" max="6" width="1.28515625" style="8" customWidth="1"/>
    <col min="7" max="7" width="15.5703125" style="8" customWidth="1"/>
    <col min="8" max="8" width="1.28515625" style="8" customWidth="1"/>
    <col min="9" max="9" width="14.28515625" style="8" customWidth="1"/>
    <col min="10" max="10" width="1.28515625" style="8" customWidth="1"/>
    <col min="11" max="11" width="12" style="8" customWidth="1"/>
    <col min="12" max="12" width="1.28515625" style="8" customWidth="1"/>
    <col min="13" max="13" width="15.5703125" style="8" customWidth="1"/>
    <col min="14" max="14" width="0.28515625" style="18" customWidth="1"/>
    <col min="15" max="16384" width="9.140625" style="18"/>
  </cols>
  <sheetData>
    <row r="1" spans="1:13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30" customHeight="1">
      <c r="A2" s="153" t="s">
        <v>183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30" customHeight="1">
      <c r="A4" s="177" t="s">
        <v>161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</row>
    <row r="5" spans="1:13" ht="30" customHeight="1">
      <c r="A5" s="155" t="s">
        <v>94</v>
      </c>
      <c r="C5" s="155" t="s">
        <v>108</v>
      </c>
      <c r="D5" s="155"/>
      <c r="E5" s="155"/>
      <c r="F5" s="155"/>
      <c r="G5" s="155"/>
      <c r="I5" s="155" t="s">
        <v>109</v>
      </c>
      <c r="J5" s="155"/>
      <c r="K5" s="155"/>
      <c r="L5" s="155"/>
      <c r="M5" s="155"/>
    </row>
    <row r="6" spans="1:13" ht="30" customHeight="1">
      <c r="A6" s="155"/>
      <c r="C6" s="7" t="s">
        <v>159</v>
      </c>
      <c r="D6" s="9"/>
      <c r="E6" s="7" t="s">
        <v>143</v>
      </c>
      <c r="F6" s="9"/>
      <c r="G6" s="7" t="s">
        <v>160</v>
      </c>
      <c r="I6" s="7" t="s">
        <v>159</v>
      </c>
      <c r="J6" s="9"/>
      <c r="K6" s="7" t="s">
        <v>143</v>
      </c>
      <c r="L6" s="9"/>
      <c r="M6" s="7" t="s">
        <v>160</v>
      </c>
    </row>
    <row r="7" spans="1:13" ht="30" customHeight="1">
      <c r="A7" s="9" t="s">
        <v>188</v>
      </c>
      <c r="C7" s="10">
        <f>'درآمد سپرده بانکی'!D7</f>
        <v>17864</v>
      </c>
      <c r="E7" s="10">
        <v>0</v>
      </c>
      <c r="G7" s="10">
        <f>C7</f>
        <v>17864</v>
      </c>
      <c r="I7" s="10">
        <f>'درآمد سپرده بانکی'!H7</f>
        <v>537350</v>
      </c>
      <c r="K7" s="10">
        <v>0</v>
      </c>
      <c r="M7" s="10">
        <f>I7</f>
        <v>537350</v>
      </c>
    </row>
    <row r="8" spans="1:13" ht="30" customHeight="1">
      <c r="A8" s="8" t="s">
        <v>189</v>
      </c>
      <c r="C8" s="10">
        <f>'درآمد سپرده بانکی'!D8</f>
        <v>15926</v>
      </c>
      <c r="E8" s="12">
        <v>0</v>
      </c>
      <c r="G8" s="12">
        <f>C8</f>
        <v>15926</v>
      </c>
      <c r="I8" s="10">
        <f>'درآمد سپرده بانکی'!H8</f>
        <v>190580832</v>
      </c>
      <c r="K8" s="12">
        <v>0</v>
      </c>
      <c r="M8" s="12">
        <f t="shared" ref="M8:M9" si="0">I8</f>
        <v>190580832</v>
      </c>
    </row>
    <row r="9" spans="1:13" ht="30" customHeight="1">
      <c r="A9" s="8" t="s">
        <v>190</v>
      </c>
      <c r="C9" s="10">
        <f>'درآمد سپرده بانکی'!D9</f>
        <v>69990</v>
      </c>
      <c r="E9" s="14">
        <v>0</v>
      </c>
      <c r="G9" s="14">
        <f>C9</f>
        <v>69990</v>
      </c>
      <c r="I9" s="10">
        <f>'درآمد سپرده بانکی'!H9</f>
        <v>436748</v>
      </c>
      <c r="K9" s="14">
        <v>0</v>
      </c>
      <c r="M9" s="12">
        <f t="shared" si="0"/>
        <v>436748</v>
      </c>
    </row>
    <row r="10" spans="1:13" ht="30" customHeight="1">
      <c r="A10" s="22" t="s">
        <v>46</v>
      </c>
      <c r="C10" s="28">
        <f>SUM(C7:C9)</f>
        <v>103780</v>
      </c>
      <c r="D10" s="22"/>
      <c r="E10" s="28">
        <v>0</v>
      </c>
      <c r="F10" s="22"/>
      <c r="G10" s="28">
        <f>SUM(G7:G9)</f>
        <v>103780</v>
      </c>
      <c r="H10" s="22"/>
      <c r="I10" s="28">
        <f>SUM(I7:I9)</f>
        <v>191554930</v>
      </c>
      <c r="J10" s="22"/>
      <c r="K10" s="28">
        <v>0</v>
      </c>
      <c r="L10" s="22"/>
      <c r="M10" s="28">
        <f>SUM(M7:M9)</f>
        <v>191554930</v>
      </c>
    </row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U54"/>
  <sheetViews>
    <sheetView rightToLeft="1" view="pageBreakPreview" zoomScale="40" zoomScaleNormal="100" zoomScaleSheetLayoutView="40" workbookViewId="0">
      <selection activeCell="G51" sqref="G51"/>
    </sheetView>
  </sheetViews>
  <sheetFormatPr defaultRowHeight="30" customHeight="1"/>
  <cols>
    <col min="1" max="1" width="38.28515625" style="54" customWidth="1"/>
    <col min="2" max="2" width="1.28515625" style="43" customWidth="1"/>
    <col min="3" max="3" width="14.5703125" style="79" customWidth="1"/>
    <col min="4" max="4" width="1.28515625" style="79" customWidth="1"/>
    <col min="5" max="5" width="19.5703125" style="79" customWidth="1"/>
    <col min="6" max="6" width="1.28515625" style="79" customWidth="1"/>
    <col min="7" max="7" width="20.5703125" style="79" customWidth="1"/>
    <col min="8" max="8" width="1.28515625" style="43" customWidth="1"/>
    <col min="9" max="9" width="19" style="43" customWidth="1"/>
    <col min="10" max="10" width="1.28515625" style="43" customWidth="1"/>
    <col min="11" max="11" width="15.140625" style="43" customWidth="1"/>
    <col min="12" max="12" width="1.28515625" style="43" customWidth="1"/>
    <col min="13" max="13" width="19" style="43" customWidth="1"/>
    <col min="14" max="14" width="1.28515625" style="43" customWidth="1"/>
    <col min="15" max="15" width="21.5703125" style="43" customWidth="1"/>
    <col min="16" max="16" width="1.28515625" style="43" customWidth="1"/>
    <col min="17" max="17" width="19.140625" style="43" customWidth="1"/>
    <col min="18" max="18" width="0.5703125" style="65" customWidth="1"/>
    <col min="19" max="19" width="9.140625" style="65"/>
    <col min="20" max="20" width="19" style="96" bestFit="1" customWidth="1"/>
    <col min="21" max="21" width="17" style="96" bestFit="1" customWidth="1"/>
    <col min="22" max="16384" width="9.140625" style="65"/>
  </cols>
  <sheetData>
    <row r="1" spans="1:17" ht="30" customHeight="1">
      <c r="A1" s="139" t="s">
        <v>179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</row>
    <row r="2" spans="1:17" ht="30" customHeight="1">
      <c r="A2" s="153" t="s">
        <v>182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7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</row>
    <row r="4" spans="1:17" ht="30" customHeight="1">
      <c r="A4" s="154" t="s">
        <v>162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17" ht="30" customHeight="1">
      <c r="A5" s="178" t="s">
        <v>94</v>
      </c>
      <c r="C5" s="143" t="s">
        <v>108</v>
      </c>
      <c r="D5" s="143"/>
      <c r="E5" s="143"/>
      <c r="F5" s="143"/>
      <c r="G5" s="143"/>
      <c r="H5" s="143"/>
      <c r="I5" s="143"/>
      <c r="K5" s="155" t="s">
        <v>109</v>
      </c>
      <c r="L5" s="155"/>
      <c r="M5" s="155"/>
      <c r="N5" s="155"/>
      <c r="O5" s="155"/>
      <c r="P5" s="155"/>
      <c r="Q5" s="155"/>
    </row>
    <row r="6" spans="1:17" ht="37.5" customHeight="1">
      <c r="A6" s="178"/>
      <c r="C6" s="80" t="s">
        <v>10</v>
      </c>
      <c r="D6" s="123"/>
      <c r="E6" s="80" t="s">
        <v>163</v>
      </c>
      <c r="F6" s="123"/>
      <c r="G6" s="80" t="s">
        <v>164</v>
      </c>
      <c r="H6" s="48"/>
      <c r="I6" s="39" t="s">
        <v>165</v>
      </c>
      <c r="K6" s="39" t="s">
        <v>10</v>
      </c>
      <c r="L6" s="48"/>
      <c r="M6" s="39" t="s">
        <v>163</v>
      </c>
      <c r="N6" s="48"/>
      <c r="O6" s="39" t="s">
        <v>164</v>
      </c>
      <c r="P6" s="48"/>
      <c r="Q6" s="7" t="s">
        <v>165</v>
      </c>
    </row>
    <row r="7" spans="1:17" ht="37.5" customHeight="1">
      <c r="A7" s="37" t="s">
        <v>39</v>
      </c>
      <c r="B7" s="8"/>
      <c r="C7" s="124">
        <v>0</v>
      </c>
      <c r="D7" s="125"/>
      <c r="E7" s="91">
        <v>0</v>
      </c>
      <c r="F7" s="125"/>
      <c r="G7" s="130">
        <v>0</v>
      </c>
      <c r="H7" s="8"/>
      <c r="I7" s="92">
        <f>E7+G7</f>
        <v>0</v>
      </c>
      <c r="J7" s="8"/>
      <c r="K7" s="91">
        <v>100000000</v>
      </c>
      <c r="L7" s="8"/>
      <c r="M7" s="91">
        <v>44817540720</v>
      </c>
      <c r="N7" s="8"/>
      <c r="O7" s="83">
        <v>-52651789225</v>
      </c>
      <c r="P7" s="8"/>
      <c r="Q7" s="83">
        <f t="shared" ref="Q7:Q26" si="0">M7+O7</f>
        <v>-7834248505</v>
      </c>
    </row>
    <row r="8" spans="1:17" ht="37.5" customHeight="1">
      <c r="A8" s="37" t="s">
        <v>33</v>
      </c>
      <c r="B8" s="23"/>
      <c r="C8" s="124">
        <v>0</v>
      </c>
      <c r="D8" s="125"/>
      <c r="E8" s="91">
        <v>0</v>
      </c>
      <c r="F8" s="125"/>
      <c r="G8" s="130">
        <v>0</v>
      </c>
      <c r="H8" s="8"/>
      <c r="I8" s="92">
        <f t="shared" ref="I8:I46" si="1">E8+G8</f>
        <v>0</v>
      </c>
      <c r="J8" s="8"/>
      <c r="K8" s="91">
        <v>15699481</v>
      </c>
      <c r="L8" s="8"/>
      <c r="M8" s="91">
        <v>31308276075</v>
      </c>
      <c r="N8" s="8"/>
      <c r="O8" s="83">
        <v>-26672102693</v>
      </c>
      <c r="P8" s="8"/>
      <c r="Q8" s="83">
        <f t="shared" si="0"/>
        <v>4636173382</v>
      </c>
    </row>
    <row r="9" spans="1:17" ht="37.5" customHeight="1">
      <c r="A9" s="23" t="s">
        <v>195</v>
      </c>
      <c r="B9" s="23"/>
      <c r="C9" s="124">
        <v>0</v>
      </c>
      <c r="D9" s="125"/>
      <c r="E9" s="91">
        <v>0</v>
      </c>
      <c r="F9" s="125"/>
      <c r="G9" s="130">
        <v>0</v>
      </c>
      <c r="H9" s="8"/>
      <c r="I9" s="92">
        <f t="shared" si="1"/>
        <v>0</v>
      </c>
      <c r="J9" s="8"/>
      <c r="K9" s="91">
        <v>1953912</v>
      </c>
      <c r="L9" s="8"/>
      <c r="M9" s="91">
        <v>34223083367</v>
      </c>
      <c r="N9" s="8"/>
      <c r="O9" s="83">
        <v>-36199956185</v>
      </c>
      <c r="P9" s="8"/>
      <c r="Q9" s="83">
        <f t="shared" si="0"/>
        <v>-1976872818</v>
      </c>
    </row>
    <row r="10" spans="1:17" ht="30" customHeight="1">
      <c r="A10" s="23" t="s">
        <v>45</v>
      </c>
      <c r="B10" s="8"/>
      <c r="C10" s="124">
        <v>0</v>
      </c>
      <c r="D10" s="125"/>
      <c r="E10" s="91">
        <v>0</v>
      </c>
      <c r="F10" s="125"/>
      <c r="G10" s="131">
        <v>0</v>
      </c>
      <c r="H10" s="8"/>
      <c r="I10" s="92">
        <f t="shared" si="1"/>
        <v>0</v>
      </c>
      <c r="J10" s="8"/>
      <c r="K10" s="12">
        <v>1048946</v>
      </c>
      <c r="L10" s="8"/>
      <c r="M10" s="12">
        <v>4226082477</v>
      </c>
      <c r="N10" s="8"/>
      <c r="O10" s="83">
        <v>-5296940238</v>
      </c>
      <c r="P10" s="8"/>
      <c r="Q10" s="83">
        <f t="shared" si="0"/>
        <v>-1070857761</v>
      </c>
    </row>
    <row r="11" spans="1:17" ht="30" customHeight="1">
      <c r="A11" s="23" t="s">
        <v>42</v>
      </c>
      <c r="B11" s="23"/>
      <c r="C11" s="125">
        <v>0</v>
      </c>
      <c r="D11" s="125"/>
      <c r="E11" s="125">
        <v>0</v>
      </c>
      <c r="F11" s="125"/>
      <c r="G11" s="131">
        <v>0</v>
      </c>
      <c r="H11" s="8"/>
      <c r="I11" s="92">
        <f t="shared" si="1"/>
        <v>0</v>
      </c>
      <c r="J11" s="8"/>
      <c r="K11" s="12">
        <v>10000000</v>
      </c>
      <c r="L11" s="8"/>
      <c r="M11" s="12">
        <v>39197836377</v>
      </c>
      <c r="N11" s="8"/>
      <c r="O11" s="83">
        <v>-37200059888</v>
      </c>
      <c r="P11" s="8"/>
      <c r="Q11" s="83">
        <f t="shared" si="0"/>
        <v>1997776489</v>
      </c>
    </row>
    <row r="12" spans="1:17" ht="30" customHeight="1">
      <c r="A12" s="23" t="s">
        <v>211</v>
      </c>
      <c r="B12" s="23"/>
      <c r="C12" s="126">
        <v>0</v>
      </c>
      <c r="D12" s="125"/>
      <c r="E12" s="125">
        <v>0</v>
      </c>
      <c r="F12" s="125"/>
      <c r="G12" s="131">
        <v>0</v>
      </c>
      <c r="H12" s="8"/>
      <c r="I12" s="92">
        <f t="shared" si="1"/>
        <v>0</v>
      </c>
      <c r="J12" s="8"/>
      <c r="K12" s="12">
        <v>2800000</v>
      </c>
      <c r="L12" s="8"/>
      <c r="M12" s="12">
        <v>27545419619</v>
      </c>
      <c r="N12" s="8"/>
      <c r="O12" s="83">
        <v>-25407556287</v>
      </c>
      <c r="P12" s="8"/>
      <c r="Q12" s="83">
        <f t="shared" si="0"/>
        <v>2137863332</v>
      </c>
    </row>
    <row r="13" spans="1:17" ht="30" customHeight="1">
      <c r="A13" s="23" t="s">
        <v>194</v>
      </c>
      <c r="B13" s="23"/>
      <c r="C13" s="126">
        <v>3100000</v>
      </c>
      <c r="D13" s="125"/>
      <c r="E13" s="91">
        <v>54063179841</v>
      </c>
      <c r="F13" s="125"/>
      <c r="G13" s="131">
        <v>-50029336900</v>
      </c>
      <c r="H13" s="8"/>
      <c r="I13" s="92">
        <f t="shared" si="1"/>
        <v>4033842941</v>
      </c>
      <c r="J13" s="8"/>
      <c r="K13" s="12">
        <v>3255168</v>
      </c>
      <c r="L13" s="8"/>
      <c r="M13" s="12">
        <v>56727241315</v>
      </c>
      <c r="N13" s="8"/>
      <c r="O13" s="83">
        <v>-52528101876</v>
      </c>
      <c r="P13" s="8"/>
      <c r="Q13" s="83">
        <f t="shared" si="0"/>
        <v>4199139439</v>
      </c>
    </row>
    <row r="14" spans="1:17" ht="30" customHeight="1">
      <c r="A14" s="37" t="s">
        <v>18</v>
      </c>
      <c r="B14" s="8"/>
      <c r="C14" s="125">
        <v>0</v>
      </c>
      <c r="D14" s="125"/>
      <c r="E14" s="125">
        <v>0</v>
      </c>
      <c r="F14" s="125"/>
      <c r="G14" s="131">
        <v>0</v>
      </c>
      <c r="H14" s="8"/>
      <c r="I14" s="92">
        <f t="shared" si="1"/>
        <v>0</v>
      </c>
      <c r="J14" s="8"/>
      <c r="K14" s="12">
        <v>335199961</v>
      </c>
      <c r="L14" s="8"/>
      <c r="M14" s="12">
        <v>148056910034</v>
      </c>
      <c r="N14" s="8"/>
      <c r="O14" s="83">
        <v>-166129053452</v>
      </c>
      <c r="P14" s="8"/>
      <c r="Q14" s="83">
        <f t="shared" si="0"/>
        <v>-18072143418</v>
      </c>
    </row>
    <row r="15" spans="1:17" ht="30" customHeight="1">
      <c r="A15" s="23" t="s">
        <v>204</v>
      </c>
      <c r="B15" s="23"/>
      <c r="C15" s="126">
        <v>0</v>
      </c>
      <c r="D15" s="125"/>
      <c r="E15" s="91">
        <v>0</v>
      </c>
      <c r="F15" s="125"/>
      <c r="G15" s="131">
        <v>0</v>
      </c>
      <c r="H15" s="8"/>
      <c r="I15" s="92">
        <f t="shared" si="1"/>
        <v>0</v>
      </c>
      <c r="J15" s="8"/>
      <c r="K15" s="12">
        <v>19600000</v>
      </c>
      <c r="L15" s="8"/>
      <c r="M15" s="12">
        <v>38966760000</v>
      </c>
      <c r="N15" s="8"/>
      <c r="O15" s="83">
        <v>-34534017579</v>
      </c>
      <c r="P15" s="8"/>
      <c r="Q15" s="83">
        <f t="shared" si="0"/>
        <v>4432742421</v>
      </c>
    </row>
    <row r="16" spans="1:17" ht="30" customHeight="1">
      <c r="A16" s="23" t="s">
        <v>201</v>
      </c>
      <c r="B16" s="23"/>
      <c r="C16" s="125">
        <v>0</v>
      </c>
      <c r="D16" s="125"/>
      <c r="E16" s="125">
        <v>0</v>
      </c>
      <c r="F16" s="125"/>
      <c r="G16" s="131">
        <v>0</v>
      </c>
      <c r="H16" s="8"/>
      <c r="I16" s="92">
        <f t="shared" si="1"/>
        <v>0</v>
      </c>
      <c r="J16" s="8"/>
      <c r="K16" s="12">
        <v>1000000</v>
      </c>
      <c r="L16" s="8"/>
      <c r="M16" s="12">
        <v>35800078668</v>
      </c>
      <c r="N16" s="8"/>
      <c r="O16" s="83">
        <v>-32660280569</v>
      </c>
      <c r="P16" s="8"/>
      <c r="Q16" s="83">
        <f t="shared" si="0"/>
        <v>3139798099</v>
      </c>
    </row>
    <row r="17" spans="1:17" ht="30" customHeight="1">
      <c r="A17" s="23" t="s">
        <v>37</v>
      </c>
      <c r="B17" s="23"/>
      <c r="C17" s="126">
        <v>0</v>
      </c>
      <c r="D17" s="125"/>
      <c r="E17" s="91">
        <v>0</v>
      </c>
      <c r="F17" s="125"/>
      <c r="G17" s="131">
        <v>0</v>
      </c>
      <c r="H17" s="8"/>
      <c r="I17" s="92">
        <f t="shared" si="1"/>
        <v>0</v>
      </c>
      <c r="J17" s="8"/>
      <c r="K17" s="12">
        <v>9060000</v>
      </c>
      <c r="L17" s="8"/>
      <c r="M17" s="12">
        <v>16407243969</v>
      </c>
      <c r="N17" s="8"/>
      <c r="O17" s="83">
        <v>-15913766331</v>
      </c>
      <c r="P17" s="8"/>
      <c r="Q17" s="83">
        <f t="shared" si="0"/>
        <v>493477638</v>
      </c>
    </row>
    <row r="18" spans="1:17" ht="30" customHeight="1">
      <c r="A18" s="23" t="s">
        <v>210</v>
      </c>
      <c r="B18" s="23"/>
      <c r="C18" s="125">
        <v>10000000</v>
      </c>
      <c r="D18" s="125"/>
      <c r="E18" s="125">
        <f>60528470000+2013000</f>
        <v>60530483000</v>
      </c>
      <c r="F18" s="125"/>
      <c r="G18" s="131">
        <v>-65110275008</v>
      </c>
      <c r="H18" s="8"/>
      <c r="I18" s="92">
        <f t="shared" si="1"/>
        <v>-4579792008</v>
      </c>
      <c r="J18" s="8"/>
      <c r="K18" s="12">
        <v>13610000</v>
      </c>
      <c r="L18" s="8"/>
      <c r="M18" s="12">
        <f>82722407593+2013000</f>
        <v>82724420593</v>
      </c>
      <c r="N18" s="8"/>
      <c r="O18" s="83">
        <v>-88615084219</v>
      </c>
      <c r="P18" s="8"/>
      <c r="Q18" s="83">
        <f t="shared" si="0"/>
        <v>-5890663626</v>
      </c>
    </row>
    <row r="19" spans="1:17" ht="30" customHeight="1">
      <c r="A19" s="23" t="s">
        <v>205</v>
      </c>
      <c r="B19" s="23"/>
      <c r="C19" s="126">
        <v>0</v>
      </c>
      <c r="D19" s="125"/>
      <c r="E19" s="91">
        <v>0</v>
      </c>
      <c r="F19" s="125"/>
      <c r="G19" s="131">
        <v>0</v>
      </c>
      <c r="H19" s="8"/>
      <c r="I19" s="92">
        <f t="shared" si="1"/>
        <v>0</v>
      </c>
      <c r="J19" s="8"/>
      <c r="K19" s="12">
        <v>500000</v>
      </c>
      <c r="L19" s="8"/>
      <c r="M19" s="12">
        <v>5276069489</v>
      </c>
      <c r="N19" s="8"/>
      <c r="O19" s="83">
        <v>-5247279529</v>
      </c>
      <c r="P19" s="8"/>
      <c r="Q19" s="83">
        <f t="shared" si="0"/>
        <v>28789960</v>
      </c>
    </row>
    <row r="20" spans="1:17" ht="30" customHeight="1">
      <c r="A20" s="37" t="s">
        <v>229</v>
      </c>
      <c r="B20" s="8"/>
      <c r="C20" s="126">
        <v>0</v>
      </c>
      <c r="D20" s="125"/>
      <c r="E20" s="126">
        <v>0</v>
      </c>
      <c r="F20" s="125"/>
      <c r="G20" s="131">
        <v>0</v>
      </c>
      <c r="H20" s="8"/>
      <c r="I20" s="92">
        <f t="shared" si="1"/>
        <v>0</v>
      </c>
      <c r="J20" s="8"/>
      <c r="K20" s="12">
        <v>2218012</v>
      </c>
      <c r="L20" s="8"/>
      <c r="M20" s="12">
        <v>104876670912</v>
      </c>
      <c r="N20" s="8"/>
      <c r="O20" s="83">
        <v>-114873740426</v>
      </c>
      <c r="P20" s="8"/>
      <c r="Q20" s="83">
        <f t="shared" si="0"/>
        <v>-9997069514</v>
      </c>
    </row>
    <row r="21" spans="1:17" ht="30" customHeight="1">
      <c r="A21" s="37" t="s">
        <v>26</v>
      </c>
      <c r="B21" s="8"/>
      <c r="C21" s="125">
        <v>10000000</v>
      </c>
      <c r="D21" s="125"/>
      <c r="E21" s="125">
        <v>89101508687</v>
      </c>
      <c r="F21" s="125"/>
      <c r="G21" s="131">
        <v>-72311726491</v>
      </c>
      <c r="H21" s="8"/>
      <c r="I21" s="92">
        <f t="shared" si="1"/>
        <v>16789782196</v>
      </c>
      <c r="J21" s="8"/>
      <c r="K21" s="12">
        <v>14314776</v>
      </c>
      <c r="L21" s="8"/>
      <c r="M21" s="12">
        <v>119709013331</v>
      </c>
      <c r="N21" s="8"/>
      <c r="O21" s="83">
        <v>-103463375323</v>
      </c>
      <c r="P21" s="8"/>
      <c r="Q21" s="83">
        <f t="shared" si="0"/>
        <v>16245638008</v>
      </c>
    </row>
    <row r="22" spans="1:17" ht="30" customHeight="1">
      <c r="A22" s="37" t="s">
        <v>27</v>
      </c>
      <c r="B22" s="8"/>
      <c r="C22" s="125">
        <v>15262613</v>
      </c>
      <c r="D22" s="125"/>
      <c r="E22" s="125">
        <v>31381094717</v>
      </c>
      <c r="F22" s="125"/>
      <c r="G22" s="131">
        <v>-25592690846</v>
      </c>
      <c r="H22" s="8"/>
      <c r="I22" s="92">
        <f>E22+G22</f>
        <v>5788403871</v>
      </c>
      <c r="J22" s="8"/>
      <c r="K22" s="12">
        <v>28569696</v>
      </c>
      <c r="L22" s="8"/>
      <c r="M22" s="12">
        <v>55157630229</v>
      </c>
      <c r="N22" s="8"/>
      <c r="O22" s="83">
        <v>-47906305242</v>
      </c>
      <c r="P22" s="8"/>
      <c r="Q22" s="83">
        <f t="shared" si="0"/>
        <v>7251324987</v>
      </c>
    </row>
    <row r="23" spans="1:17" ht="30" customHeight="1">
      <c r="A23" s="37" t="s">
        <v>34</v>
      </c>
      <c r="B23" s="8"/>
      <c r="C23" s="126">
        <v>0</v>
      </c>
      <c r="D23" s="125"/>
      <c r="E23" s="126">
        <v>0</v>
      </c>
      <c r="F23" s="125"/>
      <c r="G23" s="131">
        <v>0</v>
      </c>
      <c r="H23" s="8"/>
      <c r="I23" s="92">
        <f t="shared" si="1"/>
        <v>0</v>
      </c>
      <c r="J23" s="8"/>
      <c r="K23" s="12">
        <v>451474</v>
      </c>
      <c r="L23" s="8"/>
      <c r="M23" s="12">
        <v>3467652730</v>
      </c>
      <c r="N23" s="8"/>
      <c r="O23" s="83">
        <v>-3895458604</v>
      </c>
      <c r="P23" s="8"/>
      <c r="Q23" s="83">
        <f t="shared" si="0"/>
        <v>-427805874</v>
      </c>
    </row>
    <row r="24" spans="1:17" ht="30" customHeight="1">
      <c r="A24" s="37" t="s">
        <v>212</v>
      </c>
      <c r="B24" s="8"/>
      <c r="C24" s="126">
        <v>0</v>
      </c>
      <c r="D24" s="125"/>
      <c r="E24" s="126">
        <v>0</v>
      </c>
      <c r="F24" s="125"/>
      <c r="G24" s="131">
        <v>0</v>
      </c>
      <c r="H24" s="8"/>
      <c r="I24" s="92">
        <f t="shared" si="1"/>
        <v>0</v>
      </c>
      <c r="J24" s="8"/>
      <c r="K24" s="12">
        <v>17984648</v>
      </c>
      <c r="L24" s="8"/>
      <c r="M24" s="12">
        <v>35011692744</v>
      </c>
      <c r="N24" s="8"/>
      <c r="O24" s="83">
        <v>-47304233707</v>
      </c>
      <c r="P24" s="8"/>
      <c r="Q24" s="83">
        <f t="shared" si="0"/>
        <v>-12292540963</v>
      </c>
    </row>
    <row r="25" spans="1:17" ht="30" customHeight="1">
      <c r="A25" s="37" t="s">
        <v>44</v>
      </c>
      <c r="B25" s="8"/>
      <c r="C25" s="126">
        <v>0</v>
      </c>
      <c r="D25" s="125"/>
      <c r="E25" s="126"/>
      <c r="F25" s="125"/>
      <c r="G25" s="131">
        <v>0</v>
      </c>
      <c r="H25" s="8"/>
      <c r="I25" s="92">
        <f t="shared" si="1"/>
        <v>0</v>
      </c>
      <c r="J25" s="8"/>
      <c r="K25" s="12">
        <v>13500000</v>
      </c>
      <c r="L25" s="8"/>
      <c r="M25" s="12">
        <v>16208492199</v>
      </c>
      <c r="N25" s="8"/>
      <c r="O25" s="83">
        <v>-20934693000</v>
      </c>
      <c r="P25" s="8"/>
      <c r="Q25" s="83">
        <f t="shared" si="0"/>
        <v>-4726200801</v>
      </c>
    </row>
    <row r="26" spans="1:17" ht="30" customHeight="1">
      <c r="A26" s="37" t="s">
        <v>38</v>
      </c>
      <c r="B26" s="8"/>
      <c r="C26" s="126">
        <v>0</v>
      </c>
      <c r="D26" s="125"/>
      <c r="E26" s="126">
        <v>0</v>
      </c>
      <c r="F26" s="125"/>
      <c r="G26" s="131">
        <v>0</v>
      </c>
      <c r="H26" s="8"/>
      <c r="I26" s="92">
        <f t="shared" si="1"/>
        <v>0</v>
      </c>
      <c r="J26" s="8"/>
      <c r="K26" s="12">
        <v>14860116</v>
      </c>
      <c r="L26" s="8"/>
      <c r="M26" s="12">
        <v>41724791220</v>
      </c>
      <c r="N26" s="8"/>
      <c r="O26" s="83">
        <v>-49618134622</v>
      </c>
      <c r="P26" s="8"/>
      <c r="Q26" s="83">
        <f t="shared" si="0"/>
        <v>-7893343402</v>
      </c>
    </row>
    <row r="27" spans="1:17" ht="30" customHeight="1">
      <c r="A27" s="37" t="s">
        <v>19</v>
      </c>
      <c r="B27" s="8"/>
      <c r="C27" s="126">
        <v>2200000</v>
      </c>
      <c r="D27" s="125"/>
      <c r="E27" s="126">
        <v>12342475730</v>
      </c>
      <c r="F27" s="125"/>
      <c r="G27" s="131">
        <v>-10361195029</v>
      </c>
      <c r="H27" s="8"/>
      <c r="I27" s="92">
        <f t="shared" si="1"/>
        <v>1981280701</v>
      </c>
      <c r="J27" s="8"/>
      <c r="K27" s="12">
        <v>2600001</v>
      </c>
      <c r="L27" s="8"/>
      <c r="M27" s="12">
        <v>14359999617</v>
      </c>
      <c r="N27" s="8"/>
      <c r="O27" s="83">
        <v>-12387975650</v>
      </c>
      <c r="P27" s="8"/>
      <c r="Q27" s="83">
        <f>M27+O27</f>
        <v>1972023967</v>
      </c>
    </row>
    <row r="28" spans="1:17" ht="30" customHeight="1">
      <c r="A28" s="37" t="s">
        <v>214</v>
      </c>
      <c r="B28" s="8"/>
      <c r="C28" s="126">
        <v>0</v>
      </c>
      <c r="D28" s="125"/>
      <c r="E28" s="126">
        <v>0</v>
      </c>
      <c r="F28" s="125"/>
      <c r="G28" s="131">
        <v>0</v>
      </c>
      <c r="H28" s="8"/>
      <c r="I28" s="92">
        <f t="shared" si="1"/>
        <v>0</v>
      </c>
      <c r="J28" s="8"/>
      <c r="K28" s="12">
        <v>4976344</v>
      </c>
      <c r="L28" s="8"/>
      <c r="M28" s="12">
        <v>6215020359</v>
      </c>
      <c r="N28" s="8"/>
      <c r="O28" s="83">
        <v>-7365688047</v>
      </c>
      <c r="P28" s="8"/>
      <c r="Q28" s="83">
        <f t="shared" ref="Q28:Q47" si="2">M28+O28</f>
        <v>-1150667688</v>
      </c>
    </row>
    <row r="29" spans="1:17" ht="30" customHeight="1">
      <c r="A29" s="37" t="s">
        <v>206</v>
      </c>
      <c r="B29" s="8"/>
      <c r="C29" s="126">
        <v>0</v>
      </c>
      <c r="D29" s="125"/>
      <c r="E29" s="126">
        <v>0</v>
      </c>
      <c r="F29" s="125"/>
      <c r="G29" s="131">
        <v>0</v>
      </c>
      <c r="H29" s="8"/>
      <c r="I29" s="92">
        <f t="shared" si="1"/>
        <v>0</v>
      </c>
      <c r="J29" s="8"/>
      <c r="K29" s="12">
        <v>62000000</v>
      </c>
      <c r="L29" s="8"/>
      <c r="M29" s="12">
        <v>108595311333</v>
      </c>
      <c r="N29" s="8"/>
      <c r="O29" s="83">
        <v>-126960066000</v>
      </c>
      <c r="P29" s="8"/>
      <c r="Q29" s="83">
        <f t="shared" si="2"/>
        <v>-18364754667</v>
      </c>
    </row>
    <row r="30" spans="1:17" ht="30" customHeight="1">
      <c r="A30" s="37" t="s">
        <v>36</v>
      </c>
      <c r="B30" s="8"/>
      <c r="C30" s="126">
        <v>0</v>
      </c>
      <c r="D30" s="125"/>
      <c r="E30" s="126">
        <v>0</v>
      </c>
      <c r="F30" s="125"/>
      <c r="G30" s="131">
        <v>0</v>
      </c>
      <c r="H30" s="8"/>
      <c r="I30" s="92">
        <f t="shared" si="1"/>
        <v>0</v>
      </c>
      <c r="J30" s="8"/>
      <c r="K30" s="12">
        <v>600000</v>
      </c>
      <c r="L30" s="8"/>
      <c r="M30" s="12">
        <v>13179268839</v>
      </c>
      <c r="N30" s="8"/>
      <c r="O30" s="83">
        <v>-14701999500</v>
      </c>
      <c r="P30" s="8"/>
      <c r="Q30" s="83">
        <f t="shared" si="2"/>
        <v>-1522730661</v>
      </c>
    </row>
    <row r="31" spans="1:17" ht="30" customHeight="1">
      <c r="A31" s="37" t="s">
        <v>231</v>
      </c>
      <c r="B31" s="8"/>
      <c r="C31" s="126">
        <v>0</v>
      </c>
      <c r="D31" s="125"/>
      <c r="E31" s="126">
        <v>0</v>
      </c>
      <c r="F31" s="125"/>
      <c r="G31" s="131">
        <v>0</v>
      </c>
      <c r="H31" s="8"/>
      <c r="I31" s="92">
        <f t="shared" si="1"/>
        <v>0</v>
      </c>
      <c r="J31" s="8"/>
      <c r="K31" s="12">
        <v>3310946</v>
      </c>
      <c r="L31" s="8"/>
      <c r="M31" s="12">
        <v>24104175787</v>
      </c>
      <c r="N31" s="8"/>
      <c r="O31" s="83">
        <v>-24190657092</v>
      </c>
      <c r="P31" s="8"/>
      <c r="Q31" s="83">
        <f t="shared" si="2"/>
        <v>-86481305</v>
      </c>
    </row>
    <row r="32" spans="1:17" ht="30" customHeight="1">
      <c r="A32" s="37" t="s">
        <v>215</v>
      </c>
      <c r="B32" s="8"/>
      <c r="C32" s="125">
        <v>0</v>
      </c>
      <c r="D32" s="125"/>
      <c r="E32" s="125">
        <v>0</v>
      </c>
      <c r="F32" s="125"/>
      <c r="G32" s="131">
        <v>0</v>
      </c>
      <c r="H32" s="8"/>
      <c r="I32" s="92">
        <f t="shared" si="1"/>
        <v>0</v>
      </c>
      <c r="J32" s="8"/>
      <c r="K32" s="12">
        <v>2134406</v>
      </c>
      <c r="L32" s="8"/>
      <c r="M32" s="12">
        <v>7506075569</v>
      </c>
      <c r="N32" s="8"/>
      <c r="O32" s="83">
        <v>-7572124080</v>
      </c>
      <c r="P32" s="8"/>
      <c r="Q32" s="83">
        <f t="shared" si="2"/>
        <v>-66048511</v>
      </c>
    </row>
    <row r="33" spans="1:21" ht="30" customHeight="1">
      <c r="A33" s="37" t="s">
        <v>21</v>
      </c>
      <c r="B33" s="8"/>
      <c r="C33" s="126">
        <v>0</v>
      </c>
      <c r="D33" s="125"/>
      <c r="E33" s="126">
        <v>0</v>
      </c>
      <c r="F33" s="125"/>
      <c r="G33" s="131">
        <v>0</v>
      </c>
      <c r="H33" s="8"/>
      <c r="I33" s="92">
        <f t="shared" si="1"/>
        <v>0</v>
      </c>
      <c r="J33" s="8"/>
      <c r="K33" s="12">
        <v>5768862</v>
      </c>
      <c r="L33" s="8"/>
      <c r="M33" s="12">
        <v>43081334848</v>
      </c>
      <c r="N33" s="8"/>
      <c r="O33" s="83">
        <v>-49947819641</v>
      </c>
      <c r="P33" s="8"/>
      <c r="Q33" s="83">
        <f>M33+O33</f>
        <v>-6866484793</v>
      </c>
    </row>
    <row r="34" spans="1:21" ht="30" customHeight="1">
      <c r="A34" s="37" t="s">
        <v>25</v>
      </c>
      <c r="B34" s="8"/>
      <c r="C34" s="126">
        <v>0</v>
      </c>
      <c r="D34" s="125"/>
      <c r="E34" s="126">
        <v>0</v>
      </c>
      <c r="F34" s="125"/>
      <c r="G34" s="131">
        <v>0</v>
      </c>
      <c r="H34" s="8"/>
      <c r="I34" s="92">
        <f t="shared" si="1"/>
        <v>0</v>
      </c>
      <c r="J34" s="8"/>
      <c r="K34" s="12">
        <v>2388346</v>
      </c>
      <c r="L34" s="8"/>
      <c r="M34" s="12">
        <v>7073122827</v>
      </c>
      <c r="N34" s="8"/>
      <c r="O34" s="83">
        <v>-8206624025</v>
      </c>
      <c r="P34" s="8"/>
      <c r="Q34" s="83">
        <f>M34+O34</f>
        <v>-1133501198</v>
      </c>
    </row>
    <row r="35" spans="1:21" ht="30" customHeight="1">
      <c r="A35" s="37" t="s">
        <v>196</v>
      </c>
      <c r="B35" s="8"/>
      <c r="C35" s="126">
        <v>771428</v>
      </c>
      <c r="D35" s="125"/>
      <c r="E35" s="126">
        <v>2180826956</v>
      </c>
      <c r="F35" s="125"/>
      <c r="G35" s="131">
        <v>-2094234587</v>
      </c>
      <c r="H35" s="8"/>
      <c r="I35" s="92">
        <f t="shared" si="1"/>
        <v>86592369</v>
      </c>
      <c r="J35" s="8"/>
      <c r="K35" s="12">
        <v>771428</v>
      </c>
      <c r="L35" s="8"/>
      <c r="M35" s="12">
        <v>2180826956</v>
      </c>
      <c r="N35" s="8"/>
      <c r="O35" s="83">
        <v>-2094234587</v>
      </c>
      <c r="P35" s="8"/>
      <c r="Q35" s="83">
        <f t="shared" si="2"/>
        <v>86592369</v>
      </c>
    </row>
    <row r="36" spans="1:21" ht="30" customHeight="1">
      <c r="A36" s="37" t="s">
        <v>31</v>
      </c>
      <c r="B36" s="8"/>
      <c r="C36" s="125">
        <v>0</v>
      </c>
      <c r="D36" s="125"/>
      <c r="E36" s="125">
        <v>0</v>
      </c>
      <c r="F36" s="125"/>
      <c r="G36" s="131">
        <v>0</v>
      </c>
      <c r="H36" s="8"/>
      <c r="I36" s="92">
        <f t="shared" si="1"/>
        <v>0</v>
      </c>
      <c r="J36" s="8"/>
      <c r="K36" s="12">
        <v>3000000</v>
      </c>
      <c r="L36" s="8"/>
      <c r="M36" s="12">
        <v>11578495694</v>
      </c>
      <c r="N36" s="8"/>
      <c r="O36" s="83">
        <v>-11261214732</v>
      </c>
      <c r="P36" s="8"/>
      <c r="Q36" s="83">
        <f t="shared" si="2"/>
        <v>317280962</v>
      </c>
    </row>
    <row r="37" spans="1:21" ht="30" customHeight="1">
      <c r="A37" s="37" t="s">
        <v>41</v>
      </c>
      <c r="B37" s="8"/>
      <c r="C37" s="126">
        <v>2000000</v>
      </c>
      <c r="D37" s="125"/>
      <c r="E37" s="126">
        <v>5390745858</v>
      </c>
      <c r="F37" s="125"/>
      <c r="G37" s="131">
        <v>-4625283730</v>
      </c>
      <c r="H37" s="8"/>
      <c r="I37" s="92">
        <f t="shared" si="1"/>
        <v>765462128</v>
      </c>
      <c r="J37" s="8"/>
      <c r="K37" s="12">
        <v>5950000</v>
      </c>
      <c r="L37" s="8"/>
      <c r="M37" s="12">
        <v>14845396545</v>
      </c>
      <c r="N37" s="8"/>
      <c r="O37" s="83">
        <v>-15258238945</v>
      </c>
      <c r="P37" s="8"/>
      <c r="Q37" s="83">
        <f t="shared" si="2"/>
        <v>-412842400</v>
      </c>
    </row>
    <row r="38" spans="1:21" ht="30" customHeight="1">
      <c r="A38" s="37" t="s">
        <v>28</v>
      </c>
      <c r="B38" s="8"/>
      <c r="C38" s="125">
        <v>0</v>
      </c>
      <c r="D38" s="125"/>
      <c r="E38" s="125">
        <v>0</v>
      </c>
      <c r="F38" s="125"/>
      <c r="G38" s="131">
        <v>0</v>
      </c>
      <c r="H38" s="8"/>
      <c r="I38" s="92">
        <f t="shared" si="1"/>
        <v>0</v>
      </c>
      <c r="J38" s="8"/>
      <c r="K38" s="12">
        <v>2427680</v>
      </c>
      <c r="L38" s="8"/>
      <c r="M38" s="12">
        <v>11248134819</v>
      </c>
      <c r="N38" s="8"/>
      <c r="O38" s="83">
        <v>-10642367690</v>
      </c>
      <c r="P38" s="8"/>
      <c r="Q38" s="83">
        <f t="shared" si="2"/>
        <v>605767129</v>
      </c>
    </row>
    <row r="39" spans="1:21" ht="30" customHeight="1">
      <c r="A39" s="37" t="s">
        <v>200</v>
      </c>
      <c r="B39" s="8"/>
      <c r="C39" s="126">
        <v>0</v>
      </c>
      <c r="D39" s="125"/>
      <c r="E39" s="126">
        <v>0</v>
      </c>
      <c r="F39" s="125"/>
      <c r="G39" s="131">
        <v>0</v>
      </c>
      <c r="H39" s="8"/>
      <c r="I39" s="92">
        <f t="shared" si="1"/>
        <v>0</v>
      </c>
      <c r="J39" s="8"/>
      <c r="K39" s="12">
        <v>2489383</v>
      </c>
      <c r="L39" s="8"/>
      <c r="M39" s="12">
        <v>9687816091</v>
      </c>
      <c r="N39" s="8"/>
      <c r="O39" s="83">
        <v>-11355807104</v>
      </c>
      <c r="P39" s="8"/>
      <c r="Q39" s="83">
        <f t="shared" si="2"/>
        <v>-1667991013</v>
      </c>
    </row>
    <row r="40" spans="1:21" ht="30" customHeight="1">
      <c r="A40" s="37" t="s">
        <v>207</v>
      </c>
      <c r="B40" s="8"/>
      <c r="C40" s="126">
        <v>122225</v>
      </c>
      <c r="D40" s="125"/>
      <c r="E40" s="126">
        <v>464745734</v>
      </c>
      <c r="F40" s="125"/>
      <c r="G40" s="131">
        <v>-396715355</v>
      </c>
      <c r="H40" s="8"/>
      <c r="I40" s="92">
        <f t="shared" si="1"/>
        <v>68030379</v>
      </c>
      <c r="J40" s="8"/>
      <c r="K40" s="12">
        <v>722225</v>
      </c>
      <c r="L40" s="8"/>
      <c r="M40" s="12">
        <v>2075485620</v>
      </c>
      <c r="N40" s="8"/>
      <c r="O40" s="83">
        <v>-2651220755</v>
      </c>
      <c r="P40" s="8"/>
      <c r="Q40" s="83">
        <f t="shared" si="2"/>
        <v>-575735135</v>
      </c>
    </row>
    <row r="41" spans="1:21" ht="30" customHeight="1">
      <c r="A41" s="37" t="s">
        <v>113</v>
      </c>
      <c r="B41" s="8"/>
      <c r="C41" s="126">
        <v>0</v>
      </c>
      <c r="D41" s="125"/>
      <c r="E41" s="126">
        <v>0</v>
      </c>
      <c r="F41" s="125"/>
      <c r="G41" s="131">
        <v>0</v>
      </c>
      <c r="H41" s="8"/>
      <c r="I41" s="92">
        <f t="shared" si="1"/>
        <v>0</v>
      </c>
      <c r="J41" s="8"/>
      <c r="K41" s="12">
        <v>208</v>
      </c>
      <c r="L41" s="8"/>
      <c r="M41" s="12">
        <v>685833</v>
      </c>
      <c r="N41" s="8"/>
      <c r="O41" s="83">
        <v>-867988</v>
      </c>
      <c r="P41" s="8"/>
      <c r="Q41" s="83">
        <f t="shared" si="2"/>
        <v>-182155</v>
      </c>
    </row>
    <row r="42" spans="1:21" ht="30" customHeight="1">
      <c r="A42" s="37" t="s">
        <v>114</v>
      </c>
      <c r="B42" s="8"/>
      <c r="C42" s="126">
        <v>0</v>
      </c>
      <c r="D42" s="125"/>
      <c r="E42" s="124">
        <v>0</v>
      </c>
      <c r="F42" s="125"/>
      <c r="G42" s="131">
        <v>0</v>
      </c>
      <c r="H42" s="8"/>
      <c r="I42" s="92">
        <f t="shared" si="1"/>
        <v>0</v>
      </c>
      <c r="J42" s="8"/>
      <c r="K42" s="12">
        <v>41000000</v>
      </c>
      <c r="L42" s="8"/>
      <c r="M42" s="12">
        <v>16699048634</v>
      </c>
      <c r="N42" s="8"/>
      <c r="O42" s="83">
        <v>-16247863502</v>
      </c>
      <c r="P42" s="8"/>
      <c r="Q42" s="83">
        <f t="shared" si="2"/>
        <v>451185132</v>
      </c>
    </row>
    <row r="43" spans="1:21" ht="30" customHeight="1">
      <c r="A43" s="37" t="s">
        <v>20</v>
      </c>
      <c r="B43" s="8"/>
      <c r="C43" s="125">
        <v>0</v>
      </c>
      <c r="D43" s="125"/>
      <c r="E43" s="127">
        <v>0</v>
      </c>
      <c r="F43" s="125"/>
      <c r="G43" s="131">
        <v>0</v>
      </c>
      <c r="H43" s="8"/>
      <c r="I43" s="92">
        <f t="shared" si="1"/>
        <v>0</v>
      </c>
      <c r="J43" s="8"/>
      <c r="K43" s="12">
        <v>2000000</v>
      </c>
      <c r="L43" s="8"/>
      <c r="M43" s="12">
        <v>57170489405</v>
      </c>
      <c r="N43" s="8"/>
      <c r="O43" s="83">
        <v>-56380780731</v>
      </c>
      <c r="P43" s="8"/>
      <c r="Q43" s="83">
        <f t="shared" si="2"/>
        <v>789708674</v>
      </c>
    </row>
    <row r="44" spans="1:21" ht="30" customHeight="1">
      <c r="A44" s="37" t="s">
        <v>191</v>
      </c>
      <c r="B44" s="8"/>
      <c r="C44" s="125">
        <v>0</v>
      </c>
      <c r="D44" s="125"/>
      <c r="E44" s="127">
        <v>0</v>
      </c>
      <c r="F44" s="125"/>
      <c r="G44" s="131">
        <v>0</v>
      </c>
      <c r="H44" s="8"/>
      <c r="I44" s="92">
        <f t="shared" si="1"/>
        <v>0</v>
      </c>
      <c r="J44" s="8"/>
      <c r="K44" s="12">
        <v>1435203</v>
      </c>
      <c r="L44" s="8"/>
      <c r="M44" s="12">
        <v>8310026303</v>
      </c>
      <c r="N44" s="8"/>
      <c r="O44" s="83">
        <v>-6564256557</v>
      </c>
      <c r="P44" s="8"/>
      <c r="Q44" s="83">
        <f t="shared" si="2"/>
        <v>1745769746</v>
      </c>
    </row>
    <row r="45" spans="1:21" ht="30" customHeight="1">
      <c r="A45" s="37" t="s">
        <v>17</v>
      </c>
      <c r="B45" s="8"/>
      <c r="C45" s="125">
        <v>5000000</v>
      </c>
      <c r="D45" s="125"/>
      <c r="E45" s="127">
        <v>38549689703</v>
      </c>
      <c r="F45" s="125"/>
      <c r="G45" s="131">
        <v>-33908822451</v>
      </c>
      <c r="H45" s="8"/>
      <c r="I45" s="92">
        <f t="shared" si="1"/>
        <v>4640867252</v>
      </c>
      <c r="J45" s="8"/>
      <c r="K45" s="12">
        <v>5000000</v>
      </c>
      <c r="L45" s="8"/>
      <c r="M45" s="12">
        <v>38549689703</v>
      </c>
      <c r="N45" s="8"/>
      <c r="O45" s="83">
        <v>-33908822451</v>
      </c>
      <c r="P45" s="8"/>
      <c r="Q45" s="83">
        <f t="shared" si="2"/>
        <v>4640867252</v>
      </c>
    </row>
    <row r="46" spans="1:21" ht="30" customHeight="1">
      <c r="A46" s="37" t="s">
        <v>222</v>
      </c>
      <c r="B46" s="8"/>
      <c r="C46" s="125">
        <v>60000</v>
      </c>
      <c r="D46" s="125"/>
      <c r="E46" s="127">
        <v>4656282119</v>
      </c>
      <c r="F46" s="125"/>
      <c r="G46" s="131">
        <v>-4212746825</v>
      </c>
      <c r="H46" s="8"/>
      <c r="I46" s="92">
        <f t="shared" si="1"/>
        <v>443535294</v>
      </c>
      <c r="J46" s="8"/>
      <c r="K46" s="12">
        <v>60000</v>
      </c>
      <c r="L46" s="8"/>
      <c r="M46" s="12">
        <v>4656282119</v>
      </c>
      <c r="N46" s="8"/>
      <c r="O46" s="83">
        <v>-4212746825</v>
      </c>
      <c r="P46" s="8"/>
      <c r="Q46" s="83">
        <f t="shared" si="2"/>
        <v>443535294</v>
      </c>
    </row>
    <row r="47" spans="1:21" ht="30" customHeight="1">
      <c r="A47" s="37" t="s">
        <v>224</v>
      </c>
      <c r="B47" s="8"/>
      <c r="C47" s="125">
        <v>2402115</v>
      </c>
      <c r="D47" s="125"/>
      <c r="E47" s="127">
        <v>10346793965</v>
      </c>
      <c r="F47" s="125"/>
      <c r="G47" s="131">
        <v>-8426967006</v>
      </c>
      <c r="H47" s="8"/>
      <c r="I47" s="92">
        <f>E47+G47</f>
        <v>1919826959</v>
      </c>
      <c r="J47" s="8"/>
      <c r="K47" s="12">
        <v>2402115</v>
      </c>
      <c r="L47" s="8"/>
      <c r="M47" s="12">
        <v>10346793965</v>
      </c>
      <c r="N47" s="8"/>
      <c r="O47" s="83">
        <v>-8426967006</v>
      </c>
      <c r="P47" s="8"/>
      <c r="Q47" s="83">
        <f t="shared" si="2"/>
        <v>1919826959</v>
      </c>
    </row>
    <row r="48" spans="1:21" s="66" customFormat="1" ht="30" customHeight="1" thickBot="1">
      <c r="A48" s="95" t="s">
        <v>46</v>
      </c>
      <c r="B48" s="22"/>
      <c r="C48" s="128">
        <f>SUM(C7:C47)</f>
        <v>50918381</v>
      </c>
      <c r="D48" s="129"/>
      <c r="E48" s="128">
        <f>SUM(E7:E47)</f>
        <v>309007826310</v>
      </c>
      <c r="F48" s="129"/>
      <c r="G48" s="128">
        <f>SUM(G7:G47)</f>
        <v>-277069994228</v>
      </c>
      <c r="H48" s="22"/>
      <c r="I48" s="85">
        <f>SUM(I7:I47)</f>
        <v>31937832082</v>
      </c>
      <c r="J48" s="22"/>
      <c r="K48" s="28">
        <f>SUM(K7:K47)</f>
        <v>756663337</v>
      </c>
      <c r="L48" s="22"/>
      <c r="M48" s="28">
        <f>SUM(M7:M47)</f>
        <v>1352896386934</v>
      </c>
      <c r="N48" s="22"/>
      <c r="O48" s="85">
        <f>SUM(O7:O47)</f>
        <v>-1397390271903</v>
      </c>
      <c r="P48" s="22"/>
      <c r="Q48" s="85">
        <f>SUM(Q7:Q47)</f>
        <v>-44493884969</v>
      </c>
      <c r="T48" s="97"/>
      <c r="U48" s="97"/>
    </row>
    <row r="49" spans="17:17" ht="30" customHeight="1" thickTop="1"/>
    <row r="52" spans="17:17" ht="30" customHeight="1">
      <c r="Q52" s="42"/>
    </row>
    <row r="53" spans="17:17" ht="30" customHeight="1">
      <c r="Q53" s="42"/>
    </row>
    <row r="54" spans="17:17" ht="30" customHeight="1">
      <c r="Q54" s="42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D48"/>
  <sheetViews>
    <sheetView rightToLeft="1" view="pageBreakPreview" topLeftCell="A15" zoomScale="90" zoomScaleNormal="100" zoomScaleSheetLayoutView="90" workbookViewId="0">
      <selection activeCell="W21" sqref="W21"/>
    </sheetView>
  </sheetViews>
  <sheetFormatPr defaultRowHeight="30" customHeight="1"/>
  <cols>
    <col min="1" max="2" width="2.5703125" style="43" customWidth="1"/>
    <col min="3" max="3" width="23.42578125" style="43" customWidth="1"/>
    <col min="4" max="4" width="1.28515625" style="43" customWidth="1"/>
    <col min="5" max="5" width="14" style="43" bestFit="1" customWidth="1"/>
    <col min="6" max="6" width="1.28515625" style="43" customWidth="1"/>
    <col min="7" max="7" width="20.7109375" style="43" customWidth="1"/>
    <col min="8" max="8" width="1.28515625" style="43" customWidth="1"/>
    <col min="9" max="9" width="21.28515625" style="43" customWidth="1"/>
    <col min="10" max="10" width="1.28515625" style="43" customWidth="1"/>
    <col min="11" max="11" width="17.140625" style="43" customWidth="1"/>
    <col min="12" max="12" width="1.28515625" style="43" customWidth="1"/>
    <col min="13" max="13" width="20.42578125" style="8" customWidth="1"/>
    <col min="14" max="14" width="1.28515625" style="43" customWidth="1"/>
    <col min="15" max="15" width="16.140625" style="38" customWidth="1"/>
    <col min="16" max="16" width="1.28515625" style="43" customWidth="1"/>
    <col min="17" max="17" width="19.28515625" style="43" customWidth="1"/>
    <col min="18" max="18" width="1.28515625" style="43" customWidth="1"/>
    <col min="19" max="19" width="14.28515625" style="43" customWidth="1"/>
    <col min="20" max="20" width="1.28515625" style="43" customWidth="1"/>
    <col min="21" max="21" width="16.7109375" style="43" customWidth="1"/>
    <col min="22" max="22" width="1.28515625" style="43" customWidth="1"/>
    <col min="23" max="23" width="21.140625" style="43" customWidth="1"/>
    <col min="24" max="24" width="1.28515625" style="43" customWidth="1"/>
    <col min="25" max="25" width="20.28515625" style="43" customWidth="1"/>
    <col min="26" max="26" width="1.28515625" style="43" customWidth="1"/>
    <col min="27" max="27" width="22" style="43" bestFit="1" customWidth="1"/>
    <col min="28" max="28" width="0.28515625" style="46" customWidth="1"/>
    <col min="29" max="29" width="5.42578125" style="46" customWidth="1"/>
    <col min="30" max="30" width="9.140625" style="46"/>
    <col min="31" max="16384" width="9.140625" style="18"/>
  </cols>
  <sheetData>
    <row r="1" spans="1:27" ht="30" customHeight="1">
      <c r="A1" s="139" t="s">
        <v>179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</row>
    <row r="2" spans="1:27" ht="30" customHeight="1">
      <c r="A2" s="139" t="s">
        <v>180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</row>
    <row r="3" spans="1:27" ht="30" customHeight="1">
      <c r="A3" s="139" t="s">
        <v>226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</row>
    <row r="4" spans="1:27" ht="30" customHeight="1">
      <c r="A4" s="47" t="s">
        <v>2</v>
      </c>
      <c r="B4" s="140" t="s">
        <v>3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</row>
    <row r="5" spans="1:27" ht="30" customHeight="1">
      <c r="A5" s="141" t="s">
        <v>4</v>
      </c>
      <c r="B5" s="141"/>
      <c r="C5" s="142" t="s">
        <v>5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</row>
    <row r="6" spans="1:27" ht="30" customHeight="1">
      <c r="A6" s="151"/>
      <c r="B6" s="151"/>
      <c r="C6" s="151"/>
      <c r="E6" s="143" t="s">
        <v>220</v>
      </c>
      <c r="F6" s="143"/>
      <c r="G6" s="143"/>
      <c r="H6" s="143"/>
      <c r="I6" s="143"/>
      <c r="K6" s="143" t="s">
        <v>7</v>
      </c>
      <c r="L6" s="143"/>
      <c r="M6" s="143"/>
      <c r="N6" s="143"/>
      <c r="O6" s="143"/>
      <c r="P6" s="143"/>
      <c r="Q6" s="143"/>
      <c r="S6" s="143" t="s">
        <v>227</v>
      </c>
      <c r="T6" s="143"/>
      <c r="U6" s="143"/>
      <c r="V6" s="143"/>
      <c r="W6" s="143"/>
      <c r="X6" s="143"/>
      <c r="Y6" s="143"/>
      <c r="Z6" s="143"/>
      <c r="AA6" s="143"/>
    </row>
    <row r="7" spans="1:27" ht="30" customHeight="1">
      <c r="A7" s="139" t="s">
        <v>178</v>
      </c>
      <c r="B7" s="139"/>
      <c r="C7" s="139"/>
      <c r="E7" s="145" t="s">
        <v>10</v>
      </c>
      <c r="F7" s="48"/>
      <c r="G7" s="145" t="s">
        <v>11</v>
      </c>
      <c r="H7" s="48"/>
      <c r="I7" s="145" t="s">
        <v>12</v>
      </c>
      <c r="K7" s="144" t="s">
        <v>8</v>
      </c>
      <c r="L7" s="144"/>
      <c r="M7" s="144"/>
      <c r="N7" s="48"/>
      <c r="O7" s="144" t="s">
        <v>9</v>
      </c>
      <c r="P7" s="144"/>
      <c r="Q7" s="144"/>
      <c r="S7" s="145" t="s">
        <v>10</v>
      </c>
      <c r="T7" s="48"/>
      <c r="U7" s="145" t="s">
        <v>14</v>
      </c>
      <c r="V7" s="48"/>
      <c r="W7" s="145" t="s">
        <v>11</v>
      </c>
      <c r="X7" s="48"/>
      <c r="Y7" s="145" t="s">
        <v>12</v>
      </c>
      <c r="Z7" s="48"/>
      <c r="AA7" s="147" t="s">
        <v>15</v>
      </c>
    </row>
    <row r="8" spans="1:27" ht="30" customHeight="1">
      <c r="A8" s="146"/>
      <c r="B8" s="146"/>
      <c r="C8" s="146"/>
      <c r="E8" s="146"/>
      <c r="G8" s="146"/>
      <c r="I8" s="146"/>
      <c r="K8" s="49" t="s">
        <v>10</v>
      </c>
      <c r="L8" s="48"/>
      <c r="M8" s="2" t="s">
        <v>11</v>
      </c>
      <c r="O8" s="50" t="s">
        <v>10</v>
      </c>
      <c r="P8" s="48"/>
      <c r="Q8" s="49" t="s">
        <v>13</v>
      </c>
      <c r="S8" s="146"/>
      <c r="U8" s="146"/>
      <c r="W8" s="146"/>
      <c r="Y8" s="139"/>
      <c r="AA8" s="148"/>
    </row>
    <row r="9" spans="1:27" ht="30" customHeight="1">
      <c r="A9" s="150" t="s">
        <v>16</v>
      </c>
      <c r="B9" s="150"/>
      <c r="C9" s="150"/>
      <c r="E9" s="41">
        <v>75</v>
      </c>
      <c r="G9" s="41">
        <v>4112010</v>
      </c>
      <c r="I9" s="41">
        <v>7884825</v>
      </c>
      <c r="K9" s="41">
        <v>0</v>
      </c>
      <c r="M9" s="10">
        <v>0</v>
      </c>
      <c r="O9" s="51">
        <v>0</v>
      </c>
      <c r="P9" s="52"/>
      <c r="Q9" s="53">
        <v>0</v>
      </c>
      <c r="S9" s="10">
        <f>E9+K9+O9</f>
        <v>75</v>
      </c>
      <c r="U9" s="41">
        <v>136350</v>
      </c>
      <c r="W9" s="41">
        <v>4112010</v>
      </c>
      <c r="Y9" s="117">
        <v>10147201.0875</v>
      </c>
      <c r="AA9" s="135">
        <f>Y9/4143953974005</f>
        <v>2.4486761076868461E-6</v>
      </c>
    </row>
    <row r="10" spans="1:27" ht="30" customHeight="1">
      <c r="A10" s="149" t="s">
        <v>17</v>
      </c>
      <c r="B10" s="149"/>
      <c r="C10" s="149"/>
      <c r="E10" s="42">
        <v>15254673</v>
      </c>
      <c r="G10" s="42">
        <v>95211861816</v>
      </c>
      <c r="I10" s="42">
        <v>103384032400</v>
      </c>
      <c r="K10" s="42">
        <v>0</v>
      </c>
      <c r="M10" s="12">
        <v>0</v>
      </c>
      <c r="O10" s="55">
        <v>-5000000</v>
      </c>
      <c r="P10" s="52"/>
      <c r="Q10" s="56">
        <v>38549689703</v>
      </c>
      <c r="S10" s="12">
        <f>E10+K10+O10</f>
        <v>10254673</v>
      </c>
      <c r="U10" s="42">
        <v>8250</v>
      </c>
      <c r="W10" s="42">
        <v>64004420717</v>
      </c>
      <c r="Y10" s="12">
        <v>83947086116.107498</v>
      </c>
      <c r="AA10" s="135">
        <f t="shared" ref="AA10:AA44" si="0">Y10/4143953974005</f>
        <v>2.0257726471555208E-2</v>
      </c>
    </row>
    <row r="11" spans="1:27" ht="30" customHeight="1">
      <c r="A11" s="149" t="s">
        <v>18</v>
      </c>
      <c r="B11" s="149"/>
      <c r="C11" s="149"/>
      <c r="E11" s="42">
        <v>110000000</v>
      </c>
      <c r="G11" s="42">
        <v>57238011453</v>
      </c>
      <c r="I11" s="42">
        <v>51191209300</v>
      </c>
      <c r="K11" s="42">
        <v>17800000</v>
      </c>
      <c r="M11" s="12">
        <v>10385239440</v>
      </c>
      <c r="O11" s="55">
        <v>0</v>
      </c>
      <c r="P11" s="52"/>
      <c r="Q11" s="56">
        <v>0</v>
      </c>
      <c r="S11" s="12">
        <f t="shared" ref="S11:S44" si="1">E11+K11+O11</f>
        <v>127800000</v>
      </c>
      <c r="U11" s="42">
        <v>590</v>
      </c>
      <c r="W11" s="42">
        <v>67623250893</v>
      </c>
      <c r="Y11" s="12">
        <v>74819142540</v>
      </c>
      <c r="AA11" s="135">
        <f t="shared" si="0"/>
        <v>1.8055012919868333E-2</v>
      </c>
    </row>
    <row r="12" spans="1:27" ht="30" customHeight="1">
      <c r="A12" s="149" t="s">
        <v>19</v>
      </c>
      <c r="B12" s="149"/>
      <c r="C12" s="149"/>
      <c r="E12" s="42">
        <v>21151844</v>
      </c>
      <c r="G12" s="42">
        <v>88247993675</v>
      </c>
      <c r="I12" s="42">
        <v>112077736913</v>
      </c>
      <c r="K12" s="56">
        <v>900000</v>
      </c>
      <c r="M12" s="12">
        <v>5056333658</v>
      </c>
      <c r="O12" s="55">
        <v>-2200000</v>
      </c>
      <c r="Q12" s="42">
        <v>12342475730</v>
      </c>
      <c r="S12" s="12">
        <f t="shared" si="1"/>
        <v>19851844</v>
      </c>
      <c r="U12" s="42">
        <v>5500</v>
      </c>
      <c r="W12" s="42">
        <v>83995830494</v>
      </c>
      <c r="Y12" s="12">
        <v>108341140852.34</v>
      </c>
      <c r="AA12" s="135">
        <f t="shared" si="0"/>
        <v>2.6144388072831735E-2</v>
      </c>
    </row>
    <row r="13" spans="1:27" ht="30" customHeight="1">
      <c r="A13" s="149" t="s">
        <v>20</v>
      </c>
      <c r="B13" s="149"/>
      <c r="C13" s="149"/>
      <c r="E13" s="42">
        <v>3268117</v>
      </c>
      <c r="G13" s="42">
        <v>80498379763</v>
      </c>
      <c r="I13" s="42">
        <v>93880636489</v>
      </c>
      <c r="K13" s="42">
        <v>1886784</v>
      </c>
      <c r="M13" s="12">
        <v>59302987770</v>
      </c>
      <c r="O13" s="55">
        <v>0</v>
      </c>
      <c r="Q13" s="42">
        <v>0</v>
      </c>
      <c r="S13" s="12">
        <f t="shared" si="1"/>
        <v>5154901</v>
      </c>
      <c r="U13" s="42">
        <v>35050</v>
      </c>
      <c r="W13" s="42">
        <v>139801367533</v>
      </c>
      <c r="Y13" s="12">
        <v>179282629215.21399</v>
      </c>
      <c r="AA13" s="135">
        <f t="shared" si="0"/>
        <v>4.326366324043484E-2</v>
      </c>
    </row>
    <row r="14" spans="1:27" ht="30" customHeight="1">
      <c r="A14" s="149" t="s">
        <v>21</v>
      </c>
      <c r="B14" s="149"/>
      <c r="C14" s="149"/>
      <c r="E14" s="42">
        <v>737819</v>
      </c>
      <c r="G14" s="42">
        <v>5771437249</v>
      </c>
      <c r="I14" s="42">
        <v>7452937410</v>
      </c>
      <c r="K14" s="42">
        <v>3150000</v>
      </c>
      <c r="M14" s="12">
        <v>32417749505</v>
      </c>
      <c r="O14" s="55">
        <v>0</v>
      </c>
      <c r="Q14" s="42">
        <v>0</v>
      </c>
      <c r="S14" s="12">
        <f t="shared" si="1"/>
        <v>3887819</v>
      </c>
      <c r="U14" s="42">
        <v>10380</v>
      </c>
      <c r="W14" s="42">
        <v>38189186754</v>
      </c>
      <c r="Y14" s="12">
        <v>40043612731.769402</v>
      </c>
      <c r="AA14" s="135">
        <f t="shared" si="0"/>
        <v>9.6631412855844347E-3</v>
      </c>
    </row>
    <row r="15" spans="1:27" ht="30" customHeight="1">
      <c r="A15" s="149" t="s">
        <v>199</v>
      </c>
      <c r="B15" s="149"/>
      <c r="C15" s="149"/>
      <c r="E15" s="42">
        <v>4713645</v>
      </c>
      <c r="G15" s="42">
        <v>3533725760</v>
      </c>
      <c r="I15" s="42">
        <v>3821279364</v>
      </c>
      <c r="K15" s="42">
        <v>0</v>
      </c>
      <c r="M15" s="12">
        <v>0</v>
      </c>
      <c r="O15" s="62">
        <v>0</v>
      </c>
      <c r="Q15" s="42">
        <v>0</v>
      </c>
      <c r="S15" s="12">
        <f t="shared" si="1"/>
        <v>4713645</v>
      </c>
      <c r="U15" s="42">
        <v>1092</v>
      </c>
      <c r="W15" s="42">
        <v>3533725760</v>
      </c>
      <c r="Y15" s="12">
        <v>5107511708.3718004</v>
      </c>
      <c r="AA15" s="135">
        <f t="shared" si="0"/>
        <v>1.2325213408283955E-3</v>
      </c>
    </row>
    <row r="16" spans="1:27" ht="30" customHeight="1">
      <c r="A16" s="149" t="s">
        <v>200</v>
      </c>
      <c r="B16" s="149"/>
      <c r="C16" s="149"/>
      <c r="E16" s="42">
        <v>9000000</v>
      </c>
      <c r="G16" s="42">
        <v>41392338130</v>
      </c>
      <c r="I16" s="42">
        <v>50278320900</v>
      </c>
      <c r="K16" s="42">
        <f>1000000+3818182</f>
        <v>4818182</v>
      </c>
      <c r="M16" s="12">
        <v>6099264725</v>
      </c>
      <c r="O16" s="62">
        <v>0</v>
      </c>
      <c r="Q16" s="42">
        <v>0</v>
      </c>
      <c r="S16" s="12">
        <f t="shared" si="1"/>
        <v>13818182</v>
      </c>
      <c r="U16" s="42">
        <v>4812</v>
      </c>
      <c r="W16" s="42">
        <v>47491602855</v>
      </c>
      <c r="Y16" s="12">
        <v>65979100184.509697</v>
      </c>
      <c r="AA16" s="135">
        <f t="shared" si="0"/>
        <v>1.5921774372591062E-2</v>
      </c>
    </row>
    <row r="17" spans="1:27" ht="30" customHeight="1">
      <c r="A17" s="149" t="s">
        <v>230</v>
      </c>
      <c r="B17" s="149"/>
      <c r="C17" s="149"/>
      <c r="E17" s="42">
        <v>56829089</v>
      </c>
      <c r="G17" s="42">
        <v>338835200140</v>
      </c>
      <c r="I17" s="42">
        <v>342849984864</v>
      </c>
      <c r="K17" s="42">
        <v>0</v>
      </c>
      <c r="M17" s="12">
        <v>0</v>
      </c>
      <c r="O17" s="55">
        <v>-10000000</v>
      </c>
      <c r="P17" s="52"/>
      <c r="Q17" s="56">
        <v>60528470000</v>
      </c>
      <c r="S17" s="12">
        <f t="shared" si="1"/>
        <v>46829089</v>
      </c>
      <c r="U17" s="42">
        <v>6540</v>
      </c>
      <c r="W17" s="42">
        <v>279211650634</v>
      </c>
      <c r="Y17" s="12">
        <v>303894834928.87598</v>
      </c>
      <c r="AA17" s="135">
        <f t="shared" si="0"/>
        <v>7.3334510188869509E-2</v>
      </c>
    </row>
    <row r="18" spans="1:27" ht="30" customHeight="1">
      <c r="A18" s="149" t="s">
        <v>23</v>
      </c>
      <c r="B18" s="149"/>
      <c r="C18" s="149"/>
      <c r="E18" s="42">
        <v>15905582</v>
      </c>
      <c r="G18" s="42">
        <v>157071370139</v>
      </c>
      <c r="I18" s="42">
        <v>236897304086</v>
      </c>
      <c r="K18" s="42">
        <v>500000</v>
      </c>
      <c r="M18" s="12">
        <v>7198080615</v>
      </c>
      <c r="O18" s="55">
        <v>0</v>
      </c>
      <c r="P18" s="52"/>
      <c r="Q18" s="56">
        <v>0</v>
      </c>
      <c r="S18" s="12">
        <f t="shared" si="1"/>
        <v>16405582</v>
      </c>
      <c r="U18" s="42">
        <v>14650</v>
      </c>
      <c r="W18" s="42">
        <v>164269450754</v>
      </c>
      <c r="Y18" s="12">
        <v>238483934369.20099</v>
      </c>
      <c r="AA18" s="135">
        <f t="shared" si="0"/>
        <v>5.7549851148253423E-2</v>
      </c>
    </row>
    <row r="19" spans="1:27" ht="30" customHeight="1">
      <c r="A19" s="149" t="s">
        <v>24</v>
      </c>
      <c r="B19" s="149"/>
      <c r="C19" s="149"/>
      <c r="E19" s="42">
        <v>771428</v>
      </c>
      <c r="G19" s="42">
        <v>2180826956</v>
      </c>
      <c r="I19" s="42">
        <v>1300524800</v>
      </c>
      <c r="K19" s="42">
        <v>0</v>
      </c>
      <c r="M19" s="12">
        <v>0</v>
      </c>
      <c r="O19" s="55">
        <v>-771428</v>
      </c>
      <c r="P19" s="52"/>
      <c r="Q19" s="56">
        <v>0</v>
      </c>
      <c r="S19" s="12">
        <f t="shared" si="1"/>
        <v>0</v>
      </c>
      <c r="U19" s="42">
        <v>0</v>
      </c>
      <c r="W19" s="42">
        <v>0</v>
      </c>
      <c r="Y19" s="12">
        <v>0</v>
      </c>
      <c r="AA19" s="135">
        <f t="shared" si="0"/>
        <v>0</v>
      </c>
    </row>
    <row r="20" spans="1:27" ht="30" customHeight="1">
      <c r="A20" s="149" t="s">
        <v>25</v>
      </c>
      <c r="B20" s="149"/>
      <c r="C20" s="149"/>
      <c r="E20" s="42">
        <v>7621186</v>
      </c>
      <c r="G20" s="42">
        <v>26100879376</v>
      </c>
      <c r="I20" s="42">
        <v>27488866834</v>
      </c>
      <c r="K20" s="42">
        <f>4200000+771428</f>
        <v>4971428</v>
      </c>
      <c r="M20" s="12">
        <v>16290957203</v>
      </c>
      <c r="O20" s="55">
        <v>0</v>
      </c>
      <c r="P20" s="52"/>
      <c r="Q20" s="56">
        <v>0</v>
      </c>
      <c r="S20" s="12">
        <f>E20+K20+O20</f>
        <v>12592614</v>
      </c>
      <c r="U20" s="42">
        <v>3864</v>
      </c>
      <c r="W20" s="42">
        <v>45344091535</v>
      </c>
      <c r="Y20" s="12">
        <v>48281735234.365898</v>
      </c>
      <c r="AA20" s="135">
        <f t="shared" si="0"/>
        <v>1.1651127289838872E-2</v>
      </c>
    </row>
    <row r="21" spans="1:27" ht="30" customHeight="1">
      <c r="A21" s="149" t="s">
        <v>217</v>
      </c>
      <c r="B21" s="149"/>
      <c r="C21" s="149"/>
      <c r="E21" s="42">
        <v>42815909</v>
      </c>
      <c r="G21" s="42">
        <v>170443646507</v>
      </c>
      <c r="I21" s="42">
        <v>201336140249</v>
      </c>
      <c r="K21" s="42">
        <v>2000000</v>
      </c>
      <c r="M21" s="12">
        <v>9778896921</v>
      </c>
      <c r="O21" s="55">
        <v>0</v>
      </c>
      <c r="P21" s="52"/>
      <c r="Q21" s="56">
        <v>0</v>
      </c>
      <c r="S21" s="12">
        <f t="shared" si="1"/>
        <v>44815909</v>
      </c>
      <c r="U21" s="42">
        <v>5250</v>
      </c>
      <c r="W21" s="42">
        <v>180222543428</v>
      </c>
      <c r="Y21" s="12">
        <v>233464780623.008</v>
      </c>
      <c r="AA21" s="135">
        <f t="shared" si="0"/>
        <v>5.6338651946312927E-2</v>
      </c>
    </row>
    <row r="22" spans="1:27" ht="30" customHeight="1">
      <c r="A22" s="149" t="s">
        <v>26</v>
      </c>
      <c r="B22" s="149"/>
      <c r="C22" s="149"/>
      <c r="E22" s="42">
        <v>10000000</v>
      </c>
      <c r="G22" s="42">
        <v>74835294622</v>
      </c>
      <c r="I22" s="42">
        <v>81266913000</v>
      </c>
      <c r="K22" s="42">
        <v>0</v>
      </c>
      <c r="M22" s="12">
        <v>0</v>
      </c>
      <c r="O22" s="38">
        <v>-10000000</v>
      </c>
      <c r="Q22" s="42">
        <v>89101508687</v>
      </c>
      <c r="S22" s="12">
        <f t="shared" si="1"/>
        <v>0</v>
      </c>
      <c r="U22" s="42">
        <v>0</v>
      </c>
      <c r="W22" s="42">
        <v>0</v>
      </c>
      <c r="Y22" s="12">
        <v>0</v>
      </c>
      <c r="AA22" s="135">
        <f t="shared" si="0"/>
        <v>0</v>
      </c>
    </row>
    <row r="23" spans="1:27" ht="30" customHeight="1">
      <c r="A23" s="149" t="s">
        <v>27</v>
      </c>
      <c r="B23" s="149"/>
      <c r="C23" s="149"/>
      <c r="E23" s="42">
        <v>22890210</v>
      </c>
      <c r="G23" s="42">
        <v>36971205329</v>
      </c>
      <c r="I23" s="42">
        <v>44676999487</v>
      </c>
      <c r="K23" s="42">
        <v>0</v>
      </c>
      <c r="M23" s="12">
        <v>0</v>
      </c>
      <c r="O23" s="38">
        <v>-15262613</v>
      </c>
      <c r="Q23" s="12">
        <v>31381094717</v>
      </c>
      <c r="S23" s="12">
        <f t="shared" si="1"/>
        <v>7627597</v>
      </c>
      <c r="U23" s="42">
        <v>2170</v>
      </c>
      <c r="W23" s="42">
        <v>12319740830</v>
      </c>
      <c r="Y23" s="12">
        <v>16423939415.1623</v>
      </c>
      <c r="AA23" s="135">
        <f t="shared" si="0"/>
        <v>3.9633498630027219E-3</v>
      </c>
    </row>
    <row r="24" spans="1:27" ht="30" customHeight="1">
      <c r="A24" s="149" t="s">
        <v>29</v>
      </c>
      <c r="B24" s="149"/>
      <c r="C24" s="149"/>
      <c r="E24" s="42">
        <v>9110547</v>
      </c>
      <c r="G24" s="42">
        <v>100769215656</v>
      </c>
      <c r="I24" s="42">
        <v>93113261458</v>
      </c>
      <c r="K24" s="42">
        <v>1220000</v>
      </c>
      <c r="M24" s="12">
        <v>15020612170</v>
      </c>
      <c r="O24" s="55">
        <v>0</v>
      </c>
      <c r="Q24" s="42">
        <v>0</v>
      </c>
      <c r="S24" s="12">
        <f t="shared" si="1"/>
        <v>10330547</v>
      </c>
      <c r="U24" s="42">
        <v>13170</v>
      </c>
      <c r="W24" s="42">
        <v>115789827826</v>
      </c>
      <c r="Y24" s="12">
        <v>135001611950.157</v>
      </c>
      <c r="AA24" s="135">
        <f t="shared" si="0"/>
        <v>3.257797089374577E-2</v>
      </c>
    </row>
    <row r="25" spans="1:27" ht="30" customHeight="1">
      <c r="A25" s="149" t="s">
        <v>30</v>
      </c>
      <c r="B25" s="149"/>
      <c r="C25" s="149"/>
      <c r="E25" s="42">
        <v>3613203</v>
      </c>
      <c r="G25" s="42">
        <v>27442302711</v>
      </c>
      <c r="I25" s="42">
        <v>30008734515</v>
      </c>
      <c r="K25" s="42">
        <v>1700000</v>
      </c>
      <c r="M25" s="12">
        <v>14202067245</v>
      </c>
      <c r="O25" s="55">
        <v>0</v>
      </c>
      <c r="Q25" s="42">
        <v>0</v>
      </c>
      <c r="S25" s="12">
        <f t="shared" si="1"/>
        <v>5313203</v>
      </c>
      <c r="U25" s="42">
        <v>9410</v>
      </c>
      <c r="W25" s="42">
        <v>41644369956</v>
      </c>
      <c r="Y25" s="12">
        <v>49610761563.022102</v>
      </c>
      <c r="AA25" s="135">
        <f t="shared" si="0"/>
        <v>1.1971841838550846E-2</v>
      </c>
    </row>
    <row r="26" spans="1:27" ht="30" customHeight="1">
      <c r="A26" s="149" t="s">
        <v>31</v>
      </c>
      <c r="B26" s="149"/>
      <c r="C26" s="149"/>
      <c r="E26" s="42">
        <v>47254270</v>
      </c>
      <c r="G26" s="42">
        <v>171984599787</v>
      </c>
      <c r="I26" s="42">
        <v>236320532244</v>
      </c>
      <c r="K26" s="42">
        <v>22761100</v>
      </c>
      <c r="M26" s="12">
        <v>121328501989</v>
      </c>
      <c r="O26" s="55">
        <v>0</v>
      </c>
      <c r="Q26" s="42">
        <v>0</v>
      </c>
      <c r="S26" s="12">
        <f t="shared" si="1"/>
        <v>70015370</v>
      </c>
      <c r="U26" s="42">
        <v>5720</v>
      </c>
      <c r="W26" s="42">
        <v>293313101776</v>
      </c>
      <c r="Y26" s="12">
        <v>397392144806.22803</v>
      </c>
      <c r="AA26" s="135">
        <f t="shared" si="0"/>
        <v>9.5896852932987844E-2</v>
      </c>
    </row>
    <row r="27" spans="1:27" ht="30" customHeight="1">
      <c r="A27" s="149" t="s">
        <v>32</v>
      </c>
      <c r="B27" s="149"/>
      <c r="C27" s="149"/>
      <c r="E27" s="42">
        <v>43019814</v>
      </c>
      <c r="G27" s="42">
        <v>194987620744</v>
      </c>
      <c r="I27" s="42">
        <v>236487480441</v>
      </c>
      <c r="K27" s="42">
        <v>1400000</v>
      </c>
      <c r="M27" s="12">
        <v>8422822554</v>
      </c>
      <c r="O27" s="38">
        <v>0</v>
      </c>
      <c r="Q27" s="42">
        <v>0</v>
      </c>
      <c r="S27" s="12">
        <f t="shared" si="1"/>
        <v>44419814</v>
      </c>
      <c r="U27" s="42">
        <v>6530</v>
      </c>
      <c r="W27" s="42">
        <v>203410443298</v>
      </c>
      <c r="Y27" s="12">
        <v>287819210910.703</v>
      </c>
      <c r="AA27" s="135">
        <f t="shared" si="0"/>
        <v>6.9455214202713472E-2</v>
      </c>
    </row>
    <row r="28" spans="1:27" ht="30" customHeight="1">
      <c r="A28" s="149" t="s">
        <v>33</v>
      </c>
      <c r="B28" s="149"/>
      <c r="C28" s="149"/>
      <c r="E28" s="42">
        <v>67124784</v>
      </c>
      <c r="G28" s="42">
        <v>130884954343</v>
      </c>
      <c r="I28" s="42">
        <v>153193591665</v>
      </c>
      <c r="K28" s="42">
        <v>16200000</v>
      </c>
      <c r="M28" s="12">
        <v>38700107591</v>
      </c>
      <c r="O28" s="38">
        <v>0</v>
      </c>
      <c r="Q28" s="42">
        <v>0</v>
      </c>
      <c r="S28" s="12">
        <f t="shared" si="1"/>
        <v>83324784</v>
      </c>
      <c r="U28" s="42">
        <v>2519</v>
      </c>
      <c r="W28" s="42">
        <v>169585061934</v>
      </c>
      <c r="Y28" s="12">
        <v>208272641534.17401</v>
      </c>
      <c r="AA28" s="135">
        <f t="shared" si="0"/>
        <v>5.0259400283079188E-2</v>
      </c>
    </row>
    <row r="29" spans="1:27" ht="30" customHeight="1">
      <c r="A29" s="149" t="s">
        <v>34</v>
      </c>
      <c r="B29" s="149"/>
      <c r="C29" s="149"/>
      <c r="E29" s="42">
        <v>56976701</v>
      </c>
      <c r="G29" s="42">
        <v>448291161526</v>
      </c>
      <c r="I29" s="42">
        <v>542748202572</v>
      </c>
      <c r="K29" s="42">
        <f>1800000+25083147</f>
        <v>26883147</v>
      </c>
      <c r="M29" s="12">
        <v>18117007594</v>
      </c>
      <c r="O29" s="38">
        <v>0</v>
      </c>
      <c r="Q29" s="42">
        <v>0</v>
      </c>
      <c r="S29" s="12">
        <f t="shared" si="1"/>
        <v>83859848</v>
      </c>
      <c r="U29" s="42">
        <v>7037</v>
      </c>
      <c r="W29" s="42">
        <v>466408169120</v>
      </c>
      <c r="Y29" s="12">
        <v>585560109245.59399</v>
      </c>
      <c r="AA29" s="135">
        <f t="shared" si="0"/>
        <v>0.14130468458839293</v>
      </c>
    </row>
    <row r="30" spans="1:27" ht="30" customHeight="1">
      <c r="A30" s="149" t="s">
        <v>212</v>
      </c>
      <c r="B30" s="149"/>
      <c r="C30" s="149"/>
      <c r="E30" s="42">
        <v>66619777</v>
      </c>
      <c r="G30" s="42">
        <v>171768266373</v>
      </c>
      <c r="I30" s="42">
        <v>212394742076</v>
      </c>
      <c r="K30" s="42">
        <v>14719772</v>
      </c>
      <c r="M30" s="12">
        <v>48239753048</v>
      </c>
      <c r="O30" s="38">
        <v>0</v>
      </c>
      <c r="Q30" s="42"/>
      <c r="S30" s="12">
        <f t="shared" si="1"/>
        <v>81339549</v>
      </c>
      <c r="U30" s="42">
        <v>3595</v>
      </c>
      <c r="W30" s="42">
        <v>220008019421</v>
      </c>
      <c r="Y30" s="12">
        <v>290155305458.99701</v>
      </c>
      <c r="AA30" s="135">
        <f t="shared" si="0"/>
        <v>7.0018949843347583E-2</v>
      </c>
    </row>
    <row r="31" spans="1:27" ht="30" customHeight="1">
      <c r="A31" s="149" t="s">
        <v>35</v>
      </c>
      <c r="B31" s="149"/>
      <c r="C31" s="149"/>
      <c r="E31" s="42">
        <v>7600000</v>
      </c>
      <c r="G31" s="42">
        <v>123762532906</v>
      </c>
      <c r="I31" s="42">
        <v>149693852200</v>
      </c>
      <c r="K31" s="42">
        <v>5950000</v>
      </c>
      <c r="M31" s="12">
        <v>116708912386</v>
      </c>
      <c r="O31" s="55">
        <v>0</v>
      </c>
      <c r="P31" s="52"/>
      <c r="Q31" s="56">
        <v>0</v>
      </c>
      <c r="S31" s="12">
        <f t="shared" si="1"/>
        <v>13550000</v>
      </c>
      <c r="U31" s="42">
        <v>20840</v>
      </c>
      <c r="W31" s="42">
        <v>240471445292</v>
      </c>
      <c r="Y31" s="12">
        <v>280199187140</v>
      </c>
      <c r="AA31" s="135">
        <f t="shared" si="0"/>
        <v>6.7616384954487407E-2</v>
      </c>
    </row>
    <row r="32" spans="1:27" ht="30" customHeight="1">
      <c r="A32" s="152" t="s">
        <v>202</v>
      </c>
      <c r="B32" s="152"/>
      <c r="C32" s="152"/>
      <c r="E32" s="42">
        <v>880000</v>
      </c>
      <c r="G32" s="42">
        <v>4694602010</v>
      </c>
      <c r="I32" s="42">
        <v>5064546080</v>
      </c>
      <c r="K32" s="42">
        <v>0</v>
      </c>
      <c r="M32" s="12">
        <v>0</v>
      </c>
      <c r="O32" s="38">
        <v>0</v>
      </c>
      <c r="Q32" s="42">
        <v>0</v>
      </c>
      <c r="S32" s="12">
        <f t="shared" si="1"/>
        <v>880000</v>
      </c>
      <c r="U32" s="42">
        <v>6090</v>
      </c>
      <c r="W32" s="42">
        <v>4694602010</v>
      </c>
      <c r="Y32" s="12">
        <v>5317773384</v>
      </c>
      <c r="AA32" s="135">
        <f t="shared" si="0"/>
        <v>1.2832607257122937E-3</v>
      </c>
    </row>
    <row r="33" spans="1:30" ht="30" customHeight="1">
      <c r="A33" s="149" t="s">
        <v>40</v>
      </c>
      <c r="B33" s="149"/>
      <c r="C33" s="149"/>
      <c r="E33" s="42">
        <v>3100000</v>
      </c>
      <c r="G33" s="42">
        <v>54091359561</v>
      </c>
      <c r="I33" s="42">
        <v>49493435330</v>
      </c>
      <c r="K33" s="42">
        <v>0</v>
      </c>
      <c r="M33" s="12">
        <v>0</v>
      </c>
      <c r="O33" s="55">
        <v>-3100000</v>
      </c>
      <c r="P33" s="52"/>
      <c r="Q33" s="56">
        <v>54063179841</v>
      </c>
      <c r="S33" s="12">
        <f t="shared" si="1"/>
        <v>0</v>
      </c>
      <c r="U33" s="42">
        <v>0</v>
      </c>
      <c r="W33" s="42">
        <v>0</v>
      </c>
      <c r="Y33" s="12">
        <v>0</v>
      </c>
      <c r="AA33" s="135">
        <f t="shared" si="0"/>
        <v>0</v>
      </c>
    </row>
    <row r="34" spans="1:30" ht="30" customHeight="1">
      <c r="A34" s="149" t="s">
        <v>41</v>
      </c>
      <c r="B34" s="149"/>
      <c r="C34" s="149"/>
      <c r="E34" s="42">
        <v>10050000</v>
      </c>
      <c r="G34" s="42">
        <v>21897635430</v>
      </c>
      <c r="I34" s="42">
        <v>22766791721</v>
      </c>
      <c r="K34" s="42">
        <v>1400000</v>
      </c>
      <c r="M34" s="12">
        <v>3235732693</v>
      </c>
      <c r="O34" s="55">
        <v>-2000000</v>
      </c>
      <c r="P34" s="52"/>
      <c r="Q34" s="56">
        <v>5390745858</v>
      </c>
      <c r="S34" s="12">
        <f t="shared" si="1"/>
        <v>9450000</v>
      </c>
      <c r="U34" s="42">
        <v>2760</v>
      </c>
      <c r="W34" s="42">
        <v>20743260153</v>
      </c>
      <c r="Y34" s="12">
        <v>25880386140</v>
      </c>
      <c r="AA34" s="135">
        <f t="shared" si="0"/>
        <v>6.2453362904963516E-3</v>
      </c>
    </row>
    <row r="35" spans="1:30" ht="30" customHeight="1">
      <c r="A35" s="149" t="s">
        <v>43</v>
      </c>
      <c r="B35" s="149"/>
      <c r="C35" s="149"/>
      <c r="E35" s="42">
        <v>315594</v>
      </c>
      <c r="G35" s="42">
        <v>1099747949</v>
      </c>
      <c r="I35" s="42">
        <v>996770641</v>
      </c>
      <c r="K35" s="42">
        <v>0</v>
      </c>
      <c r="M35" s="12">
        <v>0</v>
      </c>
      <c r="O35" s="55">
        <v>0</v>
      </c>
      <c r="P35" s="52"/>
      <c r="Q35" s="56">
        <v>0</v>
      </c>
      <c r="S35" s="12">
        <f t="shared" si="1"/>
        <v>315594</v>
      </c>
      <c r="U35" s="42">
        <v>3800</v>
      </c>
      <c r="W35" s="42">
        <v>1099747949</v>
      </c>
      <c r="Y35" s="12">
        <v>1189986941.8440001</v>
      </c>
      <c r="AA35" s="135">
        <f t="shared" si="0"/>
        <v>2.8716220047538693E-4</v>
      </c>
    </row>
    <row r="36" spans="1:30" ht="30" customHeight="1">
      <c r="A36" s="149" t="s">
        <v>203</v>
      </c>
      <c r="B36" s="149"/>
      <c r="C36" s="149"/>
      <c r="E36" s="42">
        <v>2000000</v>
      </c>
      <c r="G36" s="42">
        <v>31548620160</v>
      </c>
      <c r="I36" s="42">
        <v>36138473400</v>
      </c>
      <c r="K36" s="42">
        <v>0</v>
      </c>
      <c r="M36" s="12">
        <v>0</v>
      </c>
      <c r="O36" s="62">
        <v>0</v>
      </c>
      <c r="Q36" s="42">
        <v>0</v>
      </c>
      <c r="S36" s="12">
        <f t="shared" si="1"/>
        <v>2000000</v>
      </c>
      <c r="U36" s="42">
        <v>16500</v>
      </c>
      <c r="W36" s="42">
        <v>31548620160</v>
      </c>
      <c r="Y36" s="12">
        <v>32744910000</v>
      </c>
      <c r="AA36" s="135">
        <f t="shared" si="0"/>
        <v>7.9018517593121545E-3</v>
      </c>
    </row>
    <row r="37" spans="1:30" ht="30" customHeight="1">
      <c r="A37" s="149" t="s">
        <v>207</v>
      </c>
      <c r="B37" s="149"/>
      <c r="C37" s="149"/>
      <c r="E37" s="42">
        <v>20600253</v>
      </c>
      <c r="G37" s="42">
        <v>66863871405</v>
      </c>
      <c r="I37" s="42">
        <v>74834548755</v>
      </c>
      <c r="K37" s="42">
        <v>1500000</v>
      </c>
      <c r="M37" s="12">
        <v>6750248894</v>
      </c>
      <c r="O37" s="55">
        <v>-122225</v>
      </c>
      <c r="P37" s="52"/>
      <c r="Q37" s="56">
        <v>464745734</v>
      </c>
      <c r="S37" s="12">
        <f t="shared" si="1"/>
        <v>21978028</v>
      </c>
      <c r="U37" s="42">
        <v>4554</v>
      </c>
      <c r="W37" s="42">
        <v>73217404944</v>
      </c>
      <c r="Y37" s="12">
        <v>99314259739.572205</v>
      </c>
      <c r="AA37" s="135">
        <f t="shared" si="0"/>
        <v>2.3966062452085615E-2</v>
      </c>
    </row>
    <row r="38" spans="1:30" ht="30" customHeight="1">
      <c r="A38" s="149" t="s">
        <v>223</v>
      </c>
      <c r="B38" s="149"/>
      <c r="C38" s="149"/>
      <c r="E38" s="42">
        <v>500000</v>
      </c>
      <c r="G38" s="42">
        <v>9862380572</v>
      </c>
      <c r="I38" s="42">
        <v>9699439250</v>
      </c>
      <c r="K38" s="42">
        <v>1136629</v>
      </c>
      <c r="M38" s="12">
        <v>22484322894</v>
      </c>
      <c r="O38" s="55">
        <v>0</v>
      </c>
      <c r="P38" s="52"/>
      <c r="Q38" s="94">
        <v>0</v>
      </c>
      <c r="S38" s="12">
        <f t="shared" si="1"/>
        <v>1636629</v>
      </c>
      <c r="U38" s="42">
        <v>23700</v>
      </c>
      <c r="W38" s="42">
        <v>32346703466</v>
      </c>
      <c r="Y38" s="42">
        <v>38488275230.570999</v>
      </c>
      <c r="AA38" s="135">
        <f t="shared" si="0"/>
        <v>9.2878143608755639E-3</v>
      </c>
    </row>
    <row r="39" spans="1:30" ht="30" customHeight="1">
      <c r="A39" s="149" t="s">
        <v>224</v>
      </c>
      <c r="B39" s="149"/>
      <c r="C39" s="149"/>
      <c r="E39" s="42">
        <v>3620000</v>
      </c>
      <c r="G39" s="42">
        <v>12282980707</v>
      </c>
      <c r="I39" s="42">
        <v>12155386881.6</v>
      </c>
      <c r="K39" s="42">
        <v>2580000</v>
      </c>
      <c r="M39" s="12">
        <v>9467516425</v>
      </c>
      <c r="O39" s="55">
        <v>-2402115</v>
      </c>
      <c r="P39" s="52"/>
      <c r="Q39" s="94">
        <v>10346793965</v>
      </c>
      <c r="S39" s="12">
        <f t="shared" si="1"/>
        <v>3797885</v>
      </c>
      <c r="U39" s="42">
        <v>4231</v>
      </c>
      <c r="W39" s="42">
        <v>13323530126</v>
      </c>
      <c r="Y39" s="42">
        <v>15944639213.4074</v>
      </c>
      <c r="AA39" s="135">
        <f t="shared" si="0"/>
        <v>3.8476873327812113E-3</v>
      </c>
    </row>
    <row r="40" spans="1:30" ht="30" customHeight="1">
      <c r="A40" s="149" t="s">
        <v>222</v>
      </c>
      <c r="B40" s="149"/>
      <c r="C40" s="149"/>
      <c r="E40" s="42">
        <v>520000</v>
      </c>
      <c r="G40" s="42">
        <v>29457138827</v>
      </c>
      <c r="I40" s="42">
        <v>34854476020</v>
      </c>
      <c r="K40" s="42">
        <v>1130559</v>
      </c>
      <c r="M40" s="12">
        <v>86432647537</v>
      </c>
      <c r="O40" s="55">
        <v>-60000</v>
      </c>
      <c r="P40" s="52"/>
      <c r="Q40" s="94">
        <v>4656282119</v>
      </c>
      <c r="S40" s="12">
        <f t="shared" si="1"/>
        <v>1590559</v>
      </c>
      <c r="U40" s="42">
        <v>82250</v>
      </c>
      <c r="W40" s="42">
        <v>111677039539</v>
      </c>
      <c r="Y40" s="42">
        <v>129812212266.992</v>
      </c>
      <c r="AA40" s="135">
        <f t="shared" si="0"/>
        <v>3.1325688721762668E-2</v>
      </c>
    </row>
    <row r="41" spans="1:30" ht="30" customHeight="1">
      <c r="A41" s="149" t="s">
        <v>225</v>
      </c>
      <c r="B41" s="149"/>
      <c r="C41" s="149"/>
      <c r="E41" s="42">
        <v>1353</v>
      </c>
      <c r="G41" s="42">
        <v>2499273349</v>
      </c>
      <c r="I41" s="42">
        <v>2456550096</v>
      </c>
      <c r="K41" s="42">
        <v>1655</v>
      </c>
      <c r="M41" s="12">
        <v>3007408708</v>
      </c>
      <c r="O41" s="55">
        <v>0</v>
      </c>
      <c r="P41" s="52"/>
      <c r="Q41" s="94">
        <v>0</v>
      </c>
      <c r="S41" s="12">
        <f t="shared" si="1"/>
        <v>3008</v>
      </c>
      <c r="U41" s="42">
        <v>2200003</v>
      </c>
      <c r="W41" s="42">
        <v>5506682057</v>
      </c>
      <c r="Y41" s="42">
        <v>6601726762.3423996</v>
      </c>
      <c r="AA41" s="135">
        <f t="shared" si="0"/>
        <v>1.5930984764201037E-3</v>
      </c>
    </row>
    <row r="42" spans="1:30" ht="30" customHeight="1">
      <c r="A42" s="149" t="s">
        <v>36</v>
      </c>
      <c r="B42" s="149"/>
      <c r="C42" s="149"/>
      <c r="E42" s="42">
        <v>0</v>
      </c>
      <c r="G42" s="42">
        <v>0</v>
      </c>
      <c r="I42" s="42">
        <v>0</v>
      </c>
      <c r="K42" s="42">
        <v>700000</v>
      </c>
      <c r="M42" s="12">
        <v>20490829550</v>
      </c>
      <c r="O42" s="55">
        <v>0</v>
      </c>
      <c r="P42" s="52"/>
      <c r="Q42" s="94">
        <v>0</v>
      </c>
      <c r="S42" s="12">
        <f t="shared" si="1"/>
        <v>700000</v>
      </c>
      <c r="U42" s="42">
        <v>31150</v>
      </c>
      <c r="W42" s="42">
        <v>20490829550</v>
      </c>
      <c r="Y42" s="42">
        <v>21636447350</v>
      </c>
      <c r="AA42" s="135">
        <f t="shared" si="0"/>
        <v>5.2212084124788338E-3</v>
      </c>
    </row>
    <row r="43" spans="1:30" ht="30" customHeight="1">
      <c r="A43" s="149" t="s">
        <v>228</v>
      </c>
      <c r="B43" s="149"/>
      <c r="C43" s="149"/>
      <c r="E43" s="42">
        <v>0</v>
      </c>
      <c r="G43" s="42">
        <v>0</v>
      </c>
      <c r="I43" s="42">
        <v>0</v>
      </c>
      <c r="K43" s="42">
        <v>1825000</v>
      </c>
      <c r="M43" s="12">
        <v>42752488150</v>
      </c>
      <c r="O43" s="55">
        <v>0</v>
      </c>
      <c r="P43" s="52"/>
      <c r="Q43" s="94">
        <v>0</v>
      </c>
      <c r="S43" s="12">
        <f t="shared" si="1"/>
        <v>1825000</v>
      </c>
      <c r="U43" s="42">
        <v>27100</v>
      </c>
      <c r="W43" s="42">
        <v>42752488150</v>
      </c>
      <c r="Y43" s="42">
        <v>49075193525</v>
      </c>
      <c r="AA43" s="135">
        <f t="shared" si="0"/>
        <v>1.1842601011702449E-2</v>
      </c>
    </row>
    <row r="44" spans="1:30" ht="30" customHeight="1">
      <c r="A44" s="149" t="s">
        <v>22</v>
      </c>
      <c r="B44" s="149"/>
      <c r="C44" s="149"/>
      <c r="E44" s="42">
        <v>0</v>
      </c>
      <c r="G44" s="42">
        <v>0</v>
      </c>
      <c r="I44" s="42">
        <v>0</v>
      </c>
      <c r="K44" s="42">
        <v>1365000</v>
      </c>
      <c r="M44" s="12">
        <v>75819656367</v>
      </c>
      <c r="O44" s="55">
        <v>0</v>
      </c>
      <c r="P44" s="52"/>
      <c r="Q44" s="94">
        <v>0</v>
      </c>
      <c r="S44" s="12">
        <f t="shared" si="1"/>
        <v>1365000</v>
      </c>
      <c r="U44" s="42">
        <v>60700</v>
      </c>
      <c r="W44" s="42">
        <v>75819656367</v>
      </c>
      <c r="Y44" s="42">
        <v>82215026985</v>
      </c>
      <c r="AA44" s="135">
        <f t="shared" si="0"/>
        <v>1.9839753892232973E-2</v>
      </c>
    </row>
    <row r="45" spans="1:30" s="34" customFormat="1" ht="30" customHeight="1" thickBot="1">
      <c r="A45" s="139" t="s">
        <v>46</v>
      </c>
      <c r="B45" s="139"/>
      <c r="C45" s="139"/>
      <c r="D45" s="57"/>
      <c r="E45" s="58">
        <f>SUM(E9:E44)</f>
        <v>663865873</v>
      </c>
      <c r="F45" s="45"/>
      <c r="G45" s="58">
        <f>SUM(G9:G44)</f>
        <v>2782524546941</v>
      </c>
      <c r="H45" s="45"/>
      <c r="I45" s="58">
        <f>SUM(I9:I44)</f>
        <v>3260331586266.6001</v>
      </c>
      <c r="J45" s="45"/>
      <c r="K45" s="58">
        <f>SUM(K9:K44)</f>
        <v>138499256</v>
      </c>
      <c r="L45" s="45"/>
      <c r="M45" s="28">
        <f>SUM(M9:M44)</f>
        <v>797710145632</v>
      </c>
      <c r="N45" s="45"/>
      <c r="O45" s="59">
        <f>SUM(O9:O44)</f>
        <v>-50918381</v>
      </c>
      <c r="P45" s="45"/>
      <c r="Q45" s="58">
        <f>SUM(Q9:Q44)</f>
        <v>306824986354</v>
      </c>
      <c r="R45" s="45"/>
      <c r="S45" s="58">
        <f>SUM(S9:S44)</f>
        <v>751446748</v>
      </c>
      <c r="T45" s="45"/>
      <c r="U45" s="60"/>
      <c r="V45" s="45"/>
      <c r="W45" s="58">
        <f>SUM(W9:W44)</f>
        <v>3309861977291</v>
      </c>
      <c r="X45" s="45"/>
      <c r="Y45" s="58">
        <f>SUM(Y9:Y44)-11</f>
        <v>4140311405256.6177</v>
      </c>
      <c r="Z45" s="45"/>
      <c r="AA45" s="136">
        <f>SUM(AA9:AB44)</f>
        <v>0.99912099198971982</v>
      </c>
      <c r="AB45" s="61"/>
      <c r="AC45" s="61"/>
      <c r="AD45" s="61"/>
    </row>
    <row r="46" spans="1:30" ht="30" customHeight="1" thickTop="1">
      <c r="Y46" s="42"/>
    </row>
    <row r="47" spans="1:30" ht="30" customHeight="1">
      <c r="Y47" s="42"/>
    </row>
    <row r="48" spans="1:30" ht="30" customHeight="1">
      <c r="M48" s="12"/>
    </row>
  </sheetData>
  <mergeCells count="58">
    <mergeCell ref="A22:C22"/>
    <mergeCell ref="A23:C23"/>
    <mergeCell ref="A24:C24"/>
    <mergeCell ref="A25:C25"/>
    <mergeCell ref="A17:C17"/>
    <mergeCell ref="A18:C18"/>
    <mergeCell ref="A19:C19"/>
    <mergeCell ref="A20:C20"/>
    <mergeCell ref="A21:C21"/>
    <mergeCell ref="A31:C31"/>
    <mergeCell ref="A32:C32"/>
    <mergeCell ref="A33:C33"/>
    <mergeCell ref="A26:C26"/>
    <mergeCell ref="A27:C27"/>
    <mergeCell ref="A28:C28"/>
    <mergeCell ref="A29:C29"/>
    <mergeCell ref="A30:C30"/>
    <mergeCell ref="A45:C45"/>
    <mergeCell ref="A34:C34"/>
    <mergeCell ref="A35:C35"/>
    <mergeCell ref="A36:C36"/>
    <mergeCell ref="A38:C38"/>
    <mergeCell ref="A39:C39"/>
    <mergeCell ref="A40:C40"/>
    <mergeCell ref="A41:C41"/>
    <mergeCell ref="A43:C43"/>
    <mergeCell ref="A42:C42"/>
    <mergeCell ref="A44:C44"/>
    <mergeCell ref="A37:C37"/>
    <mergeCell ref="A16:C16"/>
    <mergeCell ref="A9:C9"/>
    <mergeCell ref="A10:C10"/>
    <mergeCell ref="E6:I6"/>
    <mergeCell ref="E7:E8"/>
    <mergeCell ref="A6:C6"/>
    <mergeCell ref="A7:C8"/>
    <mergeCell ref="A11:C11"/>
    <mergeCell ref="A12:C12"/>
    <mergeCell ref="A13:C13"/>
    <mergeCell ref="A14:C14"/>
    <mergeCell ref="A15:C15"/>
    <mergeCell ref="K6:Q6"/>
    <mergeCell ref="S6:AA6"/>
    <mergeCell ref="K7:M7"/>
    <mergeCell ref="O7:Q7"/>
    <mergeCell ref="G7:G8"/>
    <mergeCell ref="I7:I8"/>
    <mergeCell ref="S7:S8"/>
    <mergeCell ref="U7:U8"/>
    <mergeCell ref="W7:W8"/>
    <mergeCell ref="Y7:Y8"/>
    <mergeCell ref="AA7:AA8"/>
    <mergeCell ref="A1:AA1"/>
    <mergeCell ref="A2:AA2"/>
    <mergeCell ref="A3:AA3"/>
    <mergeCell ref="B4:AA4"/>
    <mergeCell ref="A5:B5"/>
    <mergeCell ref="C5:AA5"/>
  </mergeCells>
  <pageMargins left="0.39" right="0.39" top="0.39" bottom="0.39" header="0" footer="0"/>
  <pageSetup scale="4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  <pageSetUpPr fitToPage="1"/>
  </sheetPr>
  <dimension ref="A1:Y6"/>
  <sheetViews>
    <sheetView rightToLeft="1" view="pageBreakPreview" zoomScaleNormal="100" zoomScaleSheetLayoutView="100" workbookViewId="0">
      <selection activeCell="U13" sqref="U13"/>
    </sheetView>
  </sheetViews>
  <sheetFormatPr defaultRowHeight="30" customHeight="1"/>
  <cols>
    <col min="1" max="1" width="19.42578125" style="18" customWidth="1"/>
    <col min="2" max="2" width="1.28515625" style="18" customWidth="1"/>
    <col min="3" max="3" width="19.42578125" style="18" customWidth="1"/>
    <col min="4" max="4" width="1.28515625" style="18" customWidth="1"/>
    <col min="5" max="5" width="10.42578125" style="18" customWidth="1"/>
    <col min="6" max="6" width="1.28515625" style="18" customWidth="1"/>
    <col min="7" max="7" width="10.42578125" style="18" customWidth="1"/>
    <col min="8" max="8" width="1.28515625" style="18" customWidth="1"/>
    <col min="9" max="9" width="10.42578125" style="18" customWidth="1"/>
    <col min="10" max="10" width="1.28515625" style="18" customWidth="1"/>
    <col min="11" max="11" width="10.42578125" style="18" customWidth="1"/>
    <col min="12" max="12" width="1.28515625" style="18" customWidth="1"/>
    <col min="13" max="13" width="15.5703125" style="18" customWidth="1"/>
    <col min="14" max="14" width="1.28515625" style="18" customWidth="1"/>
    <col min="15" max="15" width="15.5703125" style="18" customWidth="1"/>
    <col min="16" max="16" width="1.28515625" style="18" customWidth="1"/>
    <col min="17" max="17" width="10.42578125" style="18" customWidth="1"/>
    <col min="18" max="18" width="1.28515625" style="18" customWidth="1"/>
    <col min="19" max="19" width="10.42578125" style="18" customWidth="1"/>
    <col min="20" max="20" width="1.28515625" style="18" customWidth="1"/>
    <col min="21" max="21" width="15.5703125" style="18" customWidth="1"/>
    <col min="22" max="22" width="1.28515625" style="18" customWidth="1"/>
    <col min="23" max="23" width="15.5703125" style="18" customWidth="1"/>
    <col min="24" max="24" width="1.28515625" style="18" customWidth="1"/>
    <col min="25" max="25" width="15.5703125" style="18" customWidth="1"/>
    <col min="26" max="26" width="0.28515625" style="18" customWidth="1"/>
    <col min="27" max="16384" width="9.140625" style="18"/>
  </cols>
  <sheetData>
    <row r="1" spans="1:25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</row>
    <row r="2" spans="1:25" ht="30" customHeight="1">
      <c r="A2" s="153" t="s">
        <v>182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</row>
    <row r="3" spans="1:25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</row>
    <row r="4" spans="1:25" ht="30" customHeight="1">
      <c r="A4" s="154" t="s">
        <v>166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</row>
    <row r="5" spans="1:25" ht="30" customHeight="1">
      <c r="E5" s="155" t="s">
        <v>108</v>
      </c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Y5" s="1" t="s">
        <v>109</v>
      </c>
    </row>
    <row r="6" spans="1:25" ht="38.25" customHeight="1">
      <c r="A6" s="1" t="s">
        <v>167</v>
      </c>
      <c r="C6" s="1" t="s">
        <v>168</v>
      </c>
      <c r="E6" s="7" t="s">
        <v>51</v>
      </c>
      <c r="F6" s="19"/>
      <c r="G6" s="7" t="s">
        <v>10</v>
      </c>
      <c r="H6" s="19"/>
      <c r="I6" s="7" t="s">
        <v>50</v>
      </c>
      <c r="J6" s="19"/>
      <c r="K6" s="7" t="s">
        <v>169</v>
      </c>
      <c r="L6" s="19"/>
      <c r="M6" s="7" t="s">
        <v>170</v>
      </c>
      <c r="N6" s="19"/>
      <c r="O6" s="7" t="s">
        <v>171</v>
      </c>
      <c r="P6" s="19"/>
      <c r="Q6" s="7" t="s">
        <v>172</v>
      </c>
      <c r="R6" s="19"/>
      <c r="S6" s="7" t="s">
        <v>173</v>
      </c>
      <c r="T6" s="19"/>
      <c r="U6" s="7" t="s">
        <v>174</v>
      </c>
      <c r="V6" s="19"/>
      <c r="W6" s="7" t="s">
        <v>175</v>
      </c>
      <c r="Y6" s="7" t="s">
        <v>175</v>
      </c>
    </row>
  </sheetData>
  <mergeCells count="5">
    <mergeCell ref="A1:Y1"/>
    <mergeCell ref="A2:Y2"/>
    <mergeCell ref="A3:Y3"/>
    <mergeCell ref="A4:Y4"/>
    <mergeCell ref="E5:W5"/>
  </mergeCells>
  <pageMargins left="0.39" right="0.39" top="0.39" bottom="0.39" header="0" footer="0"/>
  <pageSetup scale="68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S48"/>
  <sheetViews>
    <sheetView rightToLeft="1" tabSelected="1" view="pageBreakPreview" zoomScale="60" zoomScaleNormal="100" workbookViewId="0">
      <selection activeCell="E46" sqref="E46"/>
    </sheetView>
  </sheetViews>
  <sheetFormatPr defaultRowHeight="30" customHeight="1"/>
  <cols>
    <col min="1" max="1" width="27.28515625" style="8" bestFit="1" customWidth="1"/>
    <col min="2" max="2" width="1.28515625" style="8" customWidth="1"/>
    <col min="3" max="3" width="17.140625" style="8" customWidth="1"/>
    <col min="4" max="4" width="1.28515625" style="8" customWidth="1"/>
    <col min="5" max="5" width="22.28515625" style="8" customWidth="1"/>
    <col min="6" max="6" width="1.28515625" style="8" customWidth="1"/>
    <col min="7" max="7" width="22.42578125" style="8" customWidth="1"/>
    <col min="8" max="8" width="1.28515625" style="8" customWidth="1"/>
    <col min="9" max="9" width="22" style="83" customWidth="1"/>
    <col min="10" max="10" width="1.28515625" style="8" customWidth="1"/>
    <col min="11" max="11" width="16" style="8" customWidth="1"/>
    <col min="12" max="12" width="1.28515625" style="8" customWidth="1"/>
    <col min="13" max="13" width="20.42578125" style="8" customWidth="1"/>
    <col min="14" max="14" width="1.28515625" style="8" customWidth="1"/>
    <col min="15" max="15" width="21.5703125" style="8" customWidth="1"/>
    <col min="16" max="16" width="1.28515625" style="8" customWidth="1"/>
    <col min="17" max="17" width="19.85546875" style="83" customWidth="1"/>
    <col min="18" max="18" width="15.42578125" style="46" customWidth="1"/>
    <col min="19" max="19" width="17.85546875" style="46" bestFit="1" customWidth="1"/>
    <col min="20" max="16384" width="9.140625" style="18"/>
  </cols>
  <sheetData>
    <row r="1" spans="1:19" ht="30" customHeight="1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9" ht="30" customHeight="1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</row>
    <row r="3" spans="1:19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</row>
    <row r="4" spans="1:19" ht="30" customHeight="1">
      <c r="A4" s="154" t="s">
        <v>176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</row>
    <row r="5" spans="1:19" ht="30" customHeight="1">
      <c r="A5" s="155" t="s">
        <v>94</v>
      </c>
      <c r="C5" s="155" t="s">
        <v>108</v>
      </c>
      <c r="D5" s="155"/>
      <c r="E5" s="155"/>
      <c r="F5" s="155"/>
      <c r="G5" s="155"/>
      <c r="H5" s="155"/>
      <c r="I5" s="155"/>
      <c r="K5" s="155" t="s">
        <v>109</v>
      </c>
      <c r="L5" s="155"/>
      <c r="M5" s="155"/>
      <c r="N5" s="155"/>
      <c r="O5" s="155"/>
      <c r="P5" s="155"/>
      <c r="Q5" s="155"/>
    </row>
    <row r="6" spans="1:19" ht="36.75" customHeight="1">
      <c r="A6" s="155"/>
      <c r="C6" s="7" t="s">
        <v>10</v>
      </c>
      <c r="D6" s="9"/>
      <c r="E6" s="7" t="s">
        <v>12</v>
      </c>
      <c r="F6" s="9"/>
      <c r="G6" s="7" t="s">
        <v>164</v>
      </c>
      <c r="H6" s="9"/>
      <c r="I6" s="88" t="s">
        <v>177</v>
      </c>
      <c r="K6" s="7" t="s">
        <v>10</v>
      </c>
      <c r="L6" s="9"/>
      <c r="M6" s="7" t="s">
        <v>12</v>
      </c>
      <c r="N6" s="9"/>
      <c r="O6" s="7" t="s">
        <v>164</v>
      </c>
      <c r="P6" s="9"/>
      <c r="Q6" s="7" t="s">
        <v>177</v>
      </c>
    </row>
    <row r="7" spans="1:19" ht="30" customHeight="1">
      <c r="A7" s="37" t="s">
        <v>199</v>
      </c>
      <c r="C7" s="12">
        <v>4713645</v>
      </c>
      <c r="E7" s="12">
        <v>5107511708</v>
      </c>
      <c r="G7" s="83">
        <v>-3821279364</v>
      </c>
      <c r="I7" s="98">
        <f>E7+G7</f>
        <v>1286232344</v>
      </c>
      <c r="K7" s="12">
        <v>4713645</v>
      </c>
      <c r="M7" s="12">
        <v>5107511708</v>
      </c>
      <c r="O7" s="83">
        <v>-3533725760</v>
      </c>
      <c r="Q7" s="83">
        <f t="shared" ref="Q7:Q22" si="0">M7+O7</f>
        <v>1573785948</v>
      </c>
      <c r="R7" s="63"/>
      <c r="S7" s="64"/>
    </row>
    <row r="8" spans="1:19" ht="30" customHeight="1">
      <c r="A8" s="37" t="s">
        <v>17</v>
      </c>
      <c r="C8" s="12">
        <v>10254673</v>
      </c>
      <c r="E8" s="12">
        <v>83947086116</v>
      </c>
      <c r="G8" s="83">
        <v>-69475209948</v>
      </c>
      <c r="I8" s="98">
        <f t="shared" ref="I8:I37" si="1">E8+G8</f>
        <v>14471876168</v>
      </c>
      <c r="K8" s="12">
        <v>10254673</v>
      </c>
      <c r="M8" s="12">
        <v>83947086116</v>
      </c>
      <c r="O8" s="83">
        <v>-69544777214</v>
      </c>
      <c r="Q8" s="83">
        <f t="shared" si="0"/>
        <v>14402308902</v>
      </c>
      <c r="R8" s="63"/>
      <c r="S8" s="64"/>
    </row>
    <row r="9" spans="1:19" ht="30" customHeight="1">
      <c r="A9" s="37" t="s">
        <v>20</v>
      </c>
      <c r="C9" s="12">
        <v>5154901</v>
      </c>
      <c r="E9" s="12">
        <v>179282629215</v>
      </c>
      <c r="G9" s="83">
        <v>-153183624259</v>
      </c>
      <c r="I9" s="98">
        <f t="shared" si="1"/>
        <v>26099004956</v>
      </c>
      <c r="K9" s="12">
        <v>5154901</v>
      </c>
      <c r="M9" s="12">
        <v>179282629215</v>
      </c>
      <c r="O9" s="83">
        <v>-151357348858</v>
      </c>
      <c r="Q9" s="83">
        <f t="shared" si="0"/>
        <v>27925280357</v>
      </c>
      <c r="R9" s="63"/>
      <c r="S9" s="64"/>
    </row>
    <row r="10" spans="1:19" ht="30" customHeight="1">
      <c r="A10" s="37" t="s">
        <v>32</v>
      </c>
      <c r="C10" s="12">
        <v>44419814</v>
      </c>
      <c r="E10" s="12">
        <v>287819210911</v>
      </c>
      <c r="G10" s="83">
        <v>-244910302995</v>
      </c>
      <c r="I10" s="98">
        <f t="shared" si="1"/>
        <v>42908907916</v>
      </c>
      <c r="K10" s="12">
        <v>44419814</v>
      </c>
      <c r="M10" s="12">
        <v>287819210911</v>
      </c>
      <c r="O10" s="83">
        <v>-207623161570</v>
      </c>
      <c r="Q10" s="83">
        <f t="shared" si="0"/>
        <v>80196049341</v>
      </c>
      <c r="R10" s="63"/>
      <c r="S10" s="64"/>
    </row>
    <row r="11" spans="1:19" ht="30" customHeight="1">
      <c r="A11" s="37" t="s">
        <v>219</v>
      </c>
      <c r="C11" s="12">
        <v>10330547</v>
      </c>
      <c r="E11" s="12">
        <v>135001611950</v>
      </c>
      <c r="G11" s="83">
        <v>-108133873628</v>
      </c>
      <c r="I11" s="98">
        <f t="shared" si="1"/>
        <v>26867738322</v>
      </c>
      <c r="K11" s="12">
        <v>10330547</v>
      </c>
      <c r="M11" s="12">
        <v>135001611950</v>
      </c>
      <c r="O11" s="83">
        <v>-113102425249</v>
      </c>
      <c r="Q11" s="83">
        <f t="shared" si="0"/>
        <v>21899186701</v>
      </c>
      <c r="R11" s="63"/>
      <c r="S11" s="64"/>
    </row>
    <row r="12" spans="1:19" ht="30" customHeight="1">
      <c r="A12" s="37" t="s">
        <v>215</v>
      </c>
      <c r="C12" s="12">
        <v>315594</v>
      </c>
      <c r="E12" s="12">
        <v>1189986942</v>
      </c>
      <c r="G12" s="83">
        <v>-996770641</v>
      </c>
      <c r="I12" s="98">
        <f t="shared" si="1"/>
        <v>193216301</v>
      </c>
      <c r="K12" s="12">
        <v>315594</v>
      </c>
      <c r="M12" s="12">
        <v>1189986942</v>
      </c>
      <c r="O12" s="83">
        <v>-1119487917</v>
      </c>
      <c r="Q12" s="83">
        <f t="shared" si="0"/>
        <v>70499025</v>
      </c>
      <c r="R12" s="63"/>
      <c r="S12" s="64"/>
    </row>
    <row r="13" spans="1:19" ht="30" customHeight="1">
      <c r="A13" s="37" t="s">
        <v>192</v>
      </c>
      <c r="C13" s="12">
        <v>7627597</v>
      </c>
      <c r="E13" s="12">
        <v>16423939416</v>
      </c>
      <c r="G13" s="83">
        <v>-19084308641</v>
      </c>
      <c r="I13" s="98">
        <f t="shared" si="1"/>
        <v>-2660369225</v>
      </c>
      <c r="K13" s="12">
        <v>7627597</v>
      </c>
      <c r="M13" s="12">
        <v>16423939416</v>
      </c>
      <c r="O13" s="83">
        <v>-12790125259</v>
      </c>
      <c r="Q13" s="83">
        <f t="shared" si="0"/>
        <v>3633814157</v>
      </c>
      <c r="R13" s="63"/>
      <c r="S13" s="64"/>
    </row>
    <row r="14" spans="1:19" ht="30" customHeight="1">
      <c r="A14" s="37" t="s">
        <v>193</v>
      </c>
      <c r="C14" s="12">
        <v>9450000</v>
      </c>
      <c r="E14" s="12">
        <v>25880386140</v>
      </c>
      <c r="G14" s="83">
        <v>-21377240683</v>
      </c>
      <c r="I14" s="98">
        <f t="shared" si="1"/>
        <v>4503145457</v>
      </c>
      <c r="K14" s="12">
        <v>9450000</v>
      </c>
      <c r="M14" s="12">
        <v>25880386140</v>
      </c>
      <c r="O14" s="83">
        <v>-21854465612</v>
      </c>
      <c r="Q14" s="83">
        <f t="shared" si="0"/>
        <v>4025920528</v>
      </c>
      <c r="R14" s="63"/>
      <c r="S14" s="64"/>
    </row>
    <row r="15" spans="1:19" ht="30" customHeight="1">
      <c r="A15" s="37" t="s">
        <v>33</v>
      </c>
      <c r="C15" s="12">
        <v>83324784</v>
      </c>
      <c r="E15" s="12">
        <v>208272641535</v>
      </c>
      <c r="G15" s="83">
        <v>-191893699256</v>
      </c>
      <c r="I15" s="98">
        <f t="shared" si="1"/>
        <v>16378942279</v>
      </c>
      <c r="K15" s="12">
        <v>83324784</v>
      </c>
      <c r="M15" s="12">
        <v>208272641535</v>
      </c>
      <c r="O15" s="83">
        <v>-167555492225</v>
      </c>
      <c r="Q15" s="83">
        <f t="shared" si="0"/>
        <v>40717149310</v>
      </c>
      <c r="R15" s="63"/>
      <c r="S15" s="64"/>
    </row>
    <row r="16" spans="1:19" ht="30" customHeight="1">
      <c r="A16" s="37" t="s">
        <v>31</v>
      </c>
      <c r="C16" s="12">
        <v>70015370</v>
      </c>
      <c r="E16" s="12">
        <v>397392144806</v>
      </c>
      <c r="G16" s="83">
        <v>-357649034233</v>
      </c>
      <c r="I16" s="98">
        <f t="shared" si="1"/>
        <v>39743110573</v>
      </c>
      <c r="K16" s="12">
        <v>70015370</v>
      </c>
      <c r="M16" s="12">
        <v>397392144806</v>
      </c>
      <c r="O16" s="83">
        <v>-299757385665</v>
      </c>
      <c r="Q16" s="83">
        <f t="shared" si="0"/>
        <v>97634759141</v>
      </c>
      <c r="R16" s="63"/>
      <c r="S16" s="64"/>
    </row>
    <row r="17" spans="1:19" ht="30" customHeight="1">
      <c r="A17" s="37" t="s">
        <v>34</v>
      </c>
      <c r="C17" s="12">
        <v>83859848</v>
      </c>
      <c r="E17" s="12">
        <v>585560109245</v>
      </c>
      <c r="G17" s="83">
        <v>-560865210166</v>
      </c>
      <c r="I17" s="98">
        <f t="shared" si="1"/>
        <v>24694899079</v>
      </c>
      <c r="K17" s="12">
        <v>83859848</v>
      </c>
      <c r="M17" s="12">
        <v>585560109245</v>
      </c>
      <c r="O17" s="83">
        <v>-515299047863</v>
      </c>
      <c r="Q17" s="83">
        <f t="shared" si="0"/>
        <v>70261061382</v>
      </c>
      <c r="R17" s="63"/>
      <c r="S17" s="64"/>
    </row>
    <row r="18" spans="1:19" ht="30" customHeight="1">
      <c r="A18" s="37" t="s">
        <v>203</v>
      </c>
      <c r="C18" s="12">
        <v>2000000</v>
      </c>
      <c r="E18" s="12">
        <v>32744910000</v>
      </c>
      <c r="G18" s="83">
        <v>-36138473400</v>
      </c>
      <c r="I18" s="98">
        <f t="shared" si="1"/>
        <v>-3393563400</v>
      </c>
      <c r="K18" s="12">
        <v>2000000</v>
      </c>
      <c r="M18" s="12">
        <v>32744910000</v>
      </c>
      <c r="O18" s="83">
        <v>-31548620160</v>
      </c>
      <c r="Q18" s="83">
        <f t="shared" si="0"/>
        <v>1196289840</v>
      </c>
      <c r="R18" s="63"/>
      <c r="S18" s="64"/>
    </row>
    <row r="19" spans="1:19" ht="30" customHeight="1">
      <c r="A19" s="37" t="s">
        <v>202</v>
      </c>
      <c r="C19" s="12">
        <v>880000</v>
      </c>
      <c r="E19" s="12">
        <v>5317773384</v>
      </c>
      <c r="G19" s="83">
        <v>-5064546080</v>
      </c>
      <c r="I19" s="98">
        <f t="shared" si="1"/>
        <v>253227304</v>
      </c>
      <c r="K19" s="12">
        <v>880000</v>
      </c>
      <c r="M19" s="12">
        <v>5317773384</v>
      </c>
      <c r="O19" s="83">
        <v>-4694602010</v>
      </c>
      <c r="Q19" s="83">
        <f t="shared" si="0"/>
        <v>623171374</v>
      </c>
      <c r="R19" s="63"/>
      <c r="S19" s="64"/>
    </row>
    <row r="20" spans="1:19" ht="30" customHeight="1">
      <c r="A20" s="37" t="s">
        <v>19</v>
      </c>
      <c r="C20" s="12">
        <v>19851844</v>
      </c>
      <c r="E20" s="12">
        <v>108341140852</v>
      </c>
      <c r="G20" s="83">
        <v>-106772875541</v>
      </c>
      <c r="I20" s="98">
        <f t="shared" si="1"/>
        <v>1568265311</v>
      </c>
      <c r="K20" s="12">
        <v>19851844</v>
      </c>
      <c r="M20" s="12">
        <v>108341140852</v>
      </c>
      <c r="O20" s="83">
        <v>-93494921510</v>
      </c>
      <c r="Q20" s="83">
        <f t="shared" si="0"/>
        <v>14846219342</v>
      </c>
      <c r="R20" s="63"/>
      <c r="S20" s="64"/>
    </row>
    <row r="21" spans="1:19" ht="30" customHeight="1">
      <c r="A21" s="37" t="s">
        <v>16</v>
      </c>
      <c r="C21" s="12">
        <v>75</v>
      </c>
      <c r="E21" s="12">
        <v>10147201</v>
      </c>
      <c r="G21" s="83">
        <v>-7884825</v>
      </c>
      <c r="I21" s="98">
        <f t="shared" si="1"/>
        <v>2262376</v>
      </c>
      <c r="K21" s="12">
        <v>75</v>
      </c>
      <c r="M21" s="12">
        <v>10147201</v>
      </c>
      <c r="O21" s="83">
        <v>-8421591</v>
      </c>
      <c r="Q21" s="83">
        <f t="shared" si="0"/>
        <v>1725610</v>
      </c>
      <c r="R21" s="63"/>
      <c r="S21" s="64"/>
    </row>
    <row r="22" spans="1:19" ht="30" customHeight="1">
      <c r="A22" s="37" t="s">
        <v>195</v>
      </c>
      <c r="C22" s="12">
        <v>13550000</v>
      </c>
      <c r="E22" s="12">
        <v>280199187140</v>
      </c>
      <c r="G22" s="83">
        <v>-266402764586</v>
      </c>
      <c r="I22" s="98">
        <f t="shared" si="1"/>
        <v>13796422554</v>
      </c>
      <c r="K22" s="12">
        <v>13550000</v>
      </c>
      <c r="M22" s="12">
        <v>280199187140</v>
      </c>
      <c r="O22" s="83">
        <v>-257626559723</v>
      </c>
      <c r="Q22" s="83">
        <f t="shared" si="0"/>
        <v>22572627417</v>
      </c>
      <c r="R22" s="63"/>
      <c r="S22" s="64"/>
    </row>
    <row r="23" spans="1:19" ht="30" customHeight="1">
      <c r="A23" s="37" t="s">
        <v>210</v>
      </c>
      <c r="C23" s="12">
        <v>46829089</v>
      </c>
      <c r="E23" s="12">
        <v>303894834929</v>
      </c>
      <c r="G23" s="83">
        <v>-277739709855</v>
      </c>
      <c r="I23" s="98">
        <f t="shared" si="1"/>
        <v>26155125074</v>
      </c>
      <c r="K23" s="12">
        <v>46829089</v>
      </c>
      <c r="M23" s="12">
        <v>303894834929</v>
      </c>
      <c r="O23" s="83">
        <v>-304905486334</v>
      </c>
      <c r="Q23" s="83">
        <f>M23+O23</f>
        <v>-1010651405</v>
      </c>
      <c r="R23" s="63"/>
      <c r="S23" s="64"/>
    </row>
    <row r="24" spans="1:19" ht="30" customHeight="1">
      <c r="A24" s="37" t="s">
        <v>217</v>
      </c>
      <c r="C24" s="12">
        <v>44815909</v>
      </c>
      <c r="E24" s="12">
        <v>233464780623</v>
      </c>
      <c r="G24" s="83">
        <v>-211115037170</v>
      </c>
      <c r="I24" s="98">
        <f t="shared" si="1"/>
        <v>22349743453</v>
      </c>
      <c r="K24" s="12">
        <v>44815909</v>
      </c>
      <c r="M24" s="12">
        <v>233464780623</v>
      </c>
      <c r="O24" s="83">
        <v>-179843877739</v>
      </c>
      <c r="Q24" s="83">
        <f t="shared" ref="Q24:Q39" si="2">M24+O24</f>
        <v>53620902884</v>
      </c>
      <c r="R24" s="63"/>
      <c r="S24" s="64"/>
    </row>
    <row r="25" spans="1:19" ht="30" customHeight="1">
      <c r="A25" s="37" t="s">
        <v>212</v>
      </c>
      <c r="C25" s="12">
        <v>81339549</v>
      </c>
      <c r="E25" s="12">
        <v>290155305459</v>
      </c>
      <c r="G25" s="83">
        <v>-260634495123</v>
      </c>
      <c r="I25" s="98">
        <f t="shared" si="1"/>
        <v>29520810336</v>
      </c>
      <c r="K25" s="12">
        <v>81339549</v>
      </c>
      <c r="M25" s="12">
        <v>290155305459</v>
      </c>
      <c r="O25" s="83">
        <v>-224884733819</v>
      </c>
      <c r="Q25" s="83">
        <f t="shared" si="2"/>
        <v>65270571640</v>
      </c>
      <c r="R25" s="63"/>
      <c r="S25" s="64"/>
    </row>
    <row r="26" spans="1:19" ht="30" customHeight="1">
      <c r="A26" s="37" t="s">
        <v>216</v>
      </c>
      <c r="C26" s="12">
        <v>12592614</v>
      </c>
      <c r="E26" s="12">
        <v>48281735235</v>
      </c>
      <c r="G26" s="83">
        <v>-46732078993</v>
      </c>
      <c r="I26" s="98">
        <f t="shared" si="1"/>
        <v>1549656242</v>
      </c>
      <c r="K26" s="12">
        <v>12592614</v>
      </c>
      <c r="M26" s="12">
        <v>48281735235</v>
      </c>
      <c r="O26" s="83">
        <v>-45344091535</v>
      </c>
      <c r="Q26" s="83">
        <f t="shared" si="2"/>
        <v>2937643700</v>
      </c>
      <c r="R26" s="63"/>
      <c r="S26" s="64"/>
    </row>
    <row r="27" spans="1:19" ht="30" customHeight="1">
      <c r="A27" s="37" t="s">
        <v>200</v>
      </c>
      <c r="C27" s="12">
        <v>13818182</v>
      </c>
      <c r="E27" s="12">
        <v>65979100184</v>
      </c>
      <c r="G27" s="83">
        <v>-56377585625</v>
      </c>
      <c r="I27" s="98">
        <f t="shared" si="1"/>
        <v>9601514559</v>
      </c>
      <c r="K27" s="12">
        <v>13818182</v>
      </c>
      <c r="M27" s="83">
        <v>65979100184</v>
      </c>
      <c r="O27" s="83">
        <v>-47491602855</v>
      </c>
      <c r="Q27" s="83">
        <f t="shared" si="2"/>
        <v>18487497329</v>
      </c>
      <c r="R27" s="63"/>
      <c r="S27" s="64"/>
    </row>
    <row r="28" spans="1:19" ht="30" customHeight="1">
      <c r="A28" s="37" t="s">
        <v>207</v>
      </c>
      <c r="C28" s="12">
        <v>21978028</v>
      </c>
      <c r="E28" s="12">
        <v>99314259739</v>
      </c>
      <c r="G28" s="83">
        <v>-81188082294</v>
      </c>
      <c r="I28" s="98">
        <f t="shared" si="1"/>
        <v>18126177445</v>
      </c>
      <c r="K28" s="12">
        <v>21978028</v>
      </c>
      <c r="M28" s="12">
        <v>99314259739</v>
      </c>
      <c r="O28" s="83">
        <v>-73217404944</v>
      </c>
      <c r="Q28" s="83">
        <f t="shared" si="2"/>
        <v>26096854795</v>
      </c>
      <c r="R28" s="63"/>
      <c r="S28" s="64"/>
    </row>
    <row r="29" spans="1:19" ht="30" customHeight="1">
      <c r="A29" s="37" t="s">
        <v>21</v>
      </c>
      <c r="C29" s="12">
        <v>3887819</v>
      </c>
      <c r="E29" s="12">
        <v>40043612732</v>
      </c>
      <c r="G29" s="83">
        <v>-39870686914</v>
      </c>
      <c r="I29" s="98">
        <f t="shared" si="1"/>
        <v>172925818</v>
      </c>
      <c r="K29" s="12">
        <v>3887819</v>
      </c>
      <c r="M29" s="12">
        <v>40043612732</v>
      </c>
      <c r="O29" s="83">
        <v>-38913125141</v>
      </c>
      <c r="Q29" s="83">
        <f t="shared" si="2"/>
        <v>1130487591</v>
      </c>
      <c r="R29" s="63"/>
      <c r="S29" s="64"/>
    </row>
    <row r="30" spans="1:19" ht="30" customHeight="1">
      <c r="A30" s="37" t="s">
        <v>218</v>
      </c>
      <c r="C30" s="12">
        <v>16405582</v>
      </c>
      <c r="E30" s="12">
        <v>238483934369</v>
      </c>
      <c r="G30" s="83">
        <v>-244095384700</v>
      </c>
      <c r="I30" s="98">
        <f t="shared" si="1"/>
        <v>-5611450331</v>
      </c>
      <c r="K30" s="12">
        <v>16405582</v>
      </c>
      <c r="M30" s="12">
        <v>238483934369</v>
      </c>
      <c r="O30" s="83">
        <v>-182926694588</v>
      </c>
      <c r="Q30" s="83">
        <f t="shared" si="2"/>
        <v>55557239781</v>
      </c>
      <c r="R30" s="63"/>
      <c r="S30" s="64"/>
    </row>
    <row r="31" spans="1:19" ht="30" customHeight="1">
      <c r="A31" s="37" t="s">
        <v>231</v>
      </c>
      <c r="C31" s="12">
        <v>5313203</v>
      </c>
      <c r="E31" s="12">
        <v>49610761563</v>
      </c>
      <c r="G31" s="83">
        <v>-44210801759</v>
      </c>
      <c r="I31" s="98">
        <f t="shared" si="1"/>
        <v>5399959804</v>
      </c>
      <c r="K31" s="12">
        <v>5313203</v>
      </c>
      <c r="M31" s="12">
        <v>49610761563</v>
      </c>
      <c r="O31" s="83">
        <v>-42295539198</v>
      </c>
      <c r="Q31" s="83">
        <f t="shared" si="2"/>
        <v>7315222365</v>
      </c>
      <c r="R31" s="63"/>
      <c r="S31" s="64"/>
    </row>
    <row r="32" spans="1:19" ht="30" customHeight="1">
      <c r="A32" s="37" t="s">
        <v>18</v>
      </c>
      <c r="C32" s="12">
        <v>127800000</v>
      </c>
      <c r="E32" s="12">
        <v>74819142540</v>
      </c>
      <c r="G32" s="83">
        <v>-61576448740</v>
      </c>
      <c r="I32" s="98">
        <f t="shared" si="1"/>
        <v>13242693800</v>
      </c>
      <c r="K32" s="12">
        <v>127800000</v>
      </c>
      <c r="M32" s="12">
        <v>74819142540</v>
      </c>
      <c r="O32" s="83">
        <v>-63083438988</v>
      </c>
      <c r="Q32" s="83">
        <f t="shared" si="2"/>
        <v>11735703552</v>
      </c>
      <c r="R32" s="63"/>
      <c r="S32" s="64"/>
    </row>
    <row r="33" spans="1:19" ht="30" customHeight="1">
      <c r="A33" s="37" t="s">
        <v>222</v>
      </c>
      <c r="C33" s="12">
        <v>1590559</v>
      </c>
      <c r="E33" s="83">
        <v>129812212267</v>
      </c>
      <c r="G33" s="83">
        <v>-117074376732</v>
      </c>
      <c r="I33" s="98">
        <f t="shared" si="1"/>
        <v>12737835535</v>
      </c>
      <c r="K33" s="12">
        <v>1590559</v>
      </c>
      <c r="M33" s="12">
        <v>129812212267</v>
      </c>
      <c r="O33" s="83">
        <v>-111677039539</v>
      </c>
      <c r="Q33" s="83">
        <f t="shared" si="2"/>
        <v>18135172728</v>
      </c>
      <c r="R33" s="63"/>
      <c r="S33" s="64"/>
    </row>
    <row r="34" spans="1:19" ht="30" customHeight="1">
      <c r="A34" s="37" t="s">
        <v>223</v>
      </c>
      <c r="C34" s="12">
        <v>1636629</v>
      </c>
      <c r="E34" s="83">
        <v>38488275230</v>
      </c>
      <c r="G34" s="83">
        <v>-32183762144</v>
      </c>
      <c r="I34" s="98">
        <f t="shared" si="1"/>
        <v>6304513086</v>
      </c>
      <c r="K34" s="12">
        <v>1636629</v>
      </c>
      <c r="M34" s="12">
        <v>38488275230</v>
      </c>
      <c r="O34" s="83">
        <v>-32346703466</v>
      </c>
      <c r="Q34" s="83">
        <f t="shared" si="2"/>
        <v>6141571764</v>
      </c>
      <c r="R34" s="63"/>
      <c r="S34" s="64"/>
    </row>
    <row r="35" spans="1:19" ht="30" customHeight="1">
      <c r="A35" s="37" t="s">
        <v>224</v>
      </c>
      <c r="C35" s="12">
        <v>3797885</v>
      </c>
      <c r="E35" s="83">
        <v>15944639214</v>
      </c>
      <c r="G35" s="83">
        <v>-13195936300</v>
      </c>
      <c r="I35" s="98">
        <f t="shared" si="1"/>
        <v>2748702914</v>
      </c>
      <c r="K35" s="12">
        <v>3797885</v>
      </c>
      <c r="M35" s="12">
        <v>15944639214</v>
      </c>
      <c r="O35" s="83">
        <v>-13323530126</v>
      </c>
      <c r="Q35" s="83">
        <f t="shared" si="2"/>
        <v>2621109088</v>
      </c>
      <c r="R35" s="63"/>
      <c r="S35" s="64"/>
    </row>
    <row r="36" spans="1:19" ht="30" customHeight="1">
      <c r="A36" s="37" t="s">
        <v>225</v>
      </c>
      <c r="C36" s="12">
        <v>3008</v>
      </c>
      <c r="E36" s="83">
        <v>6601726762</v>
      </c>
      <c r="G36" s="83">
        <v>-5463958804</v>
      </c>
      <c r="I36" s="98">
        <f t="shared" si="1"/>
        <v>1137767958</v>
      </c>
      <c r="K36" s="12">
        <v>3008</v>
      </c>
      <c r="M36" s="12">
        <v>6601726762</v>
      </c>
      <c r="O36" s="83">
        <v>-5506682057</v>
      </c>
      <c r="Q36" s="83">
        <f t="shared" si="2"/>
        <v>1095044705</v>
      </c>
      <c r="R36" s="63"/>
      <c r="S36" s="64"/>
    </row>
    <row r="37" spans="1:19" ht="30" customHeight="1">
      <c r="A37" s="37" t="s">
        <v>36</v>
      </c>
      <c r="C37" s="12">
        <v>700000</v>
      </c>
      <c r="E37" s="83">
        <v>21636447350</v>
      </c>
      <c r="G37" s="83">
        <v>-20490829550</v>
      </c>
      <c r="I37" s="98">
        <f t="shared" si="1"/>
        <v>1145617800</v>
      </c>
      <c r="K37" s="12">
        <v>700000</v>
      </c>
      <c r="M37" s="12">
        <v>21636447350</v>
      </c>
      <c r="O37" s="83">
        <v>-20490829550</v>
      </c>
      <c r="Q37" s="83">
        <f t="shared" si="2"/>
        <v>1145617800</v>
      </c>
      <c r="R37" s="63"/>
      <c r="S37" s="64"/>
    </row>
    <row r="38" spans="1:19" ht="30" customHeight="1">
      <c r="A38" s="37" t="s">
        <v>229</v>
      </c>
      <c r="C38" s="12">
        <v>1365000</v>
      </c>
      <c r="E38" s="83">
        <v>82215026985</v>
      </c>
      <c r="G38" s="83">
        <v>-75819656367</v>
      </c>
      <c r="I38" s="98">
        <f>E38+G38</f>
        <v>6395370618</v>
      </c>
      <c r="K38" s="12">
        <v>1365000</v>
      </c>
      <c r="M38" s="12">
        <v>82215026985</v>
      </c>
      <c r="O38" s="83">
        <v>-75819656367</v>
      </c>
      <c r="Q38" s="83">
        <f t="shared" si="2"/>
        <v>6395370618</v>
      </c>
      <c r="R38" s="63"/>
      <c r="S38" s="64"/>
    </row>
    <row r="39" spans="1:19" ht="30" customHeight="1">
      <c r="A39" s="37" t="s">
        <v>228</v>
      </c>
      <c r="C39" s="12">
        <v>1825000</v>
      </c>
      <c r="E39" s="83">
        <v>49075193525</v>
      </c>
      <c r="G39" s="83">
        <v>-42752488150</v>
      </c>
      <c r="I39" s="98">
        <f>E39+G39</f>
        <v>6322705375</v>
      </c>
      <c r="K39" s="12">
        <v>1825000</v>
      </c>
      <c r="M39" s="12">
        <v>49075193525</v>
      </c>
      <c r="O39" s="83">
        <v>-42752488150</v>
      </c>
      <c r="Q39" s="83">
        <f t="shared" si="2"/>
        <v>6322705375</v>
      </c>
      <c r="R39" s="63"/>
      <c r="S39" s="64"/>
    </row>
    <row r="40" spans="1:19" s="34" customFormat="1" ht="30" customHeight="1" thickBot="1">
      <c r="A40" s="22" t="s">
        <v>46</v>
      </c>
      <c r="B40" s="22"/>
      <c r="C40" s="28">
        <f>SUM(C7:C39)</f>
        <v>751446748</v>
      </c>
      <c r="D40" s="22"/>
      <c r="E40" s="28">
        <f>SUM(E7:E39)</f>
        <v>4140311405267</v>
      </c>
      <c r="F40" s="22"/>
      <c r="G40" s="85">
        <f>SUM(G7:G39)</f>
        <v>-3776298417466</v>
      </c>
      <c r="H40" s="22"/>
      <c r="I40" s="99">
        <f>SUM(I7:I39)</f>
        <v>364012987801</v>
      </c>
      <c r="J40" s="22"/>
      <c r="K40" s="28">
        <f>SUM(K7:K39)</f>
        <v>751446748</v>
      </c>
      <c r="L40" s="22"/>
      <c r="M40" s="28">
        <f>SUM(M7:M39)</f>
        <v>4140311405267</v>
      </c>
      <c r="N40" s="22"/>
      <c r="O40" s="85">
        <f>SUM(O7:O39)</f>
        <v>-3455733492582</v>
      </c>
      <c r="P40" s="22"/>
      <c r="Q40" s="85">
        <f>SUM(Q7:Q39)</f>
        <v>684577912685</v>
      </c>
      <c r="R40" s="61"/>
      <c r="S40" s="61"/>
    </row>
    <row r="45" spans="1:19" ht="30" customHeight="1">
      <c r="S45" s="63"/>
    </row>
    <row r="46" spans="1:19" ht="30" customHeight="1">
      <c r="S46" s="63"/>
    </row>
    <row r="47" spans="1:19" ht="30" customHeight="1">
      <c r="S47" s="63"/>
    </row>
    <row r="48" spans="1:19" ht="30" customHeight="1">
      <c r="S48" s="63"/>
    </row>
  </sheetData>
  <mergeCells count="7"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fitToPage="1"/>
  </sheetPr>
  <dimension ref="A1:AV16"/>
  <sheetViews>
    <sheetView rightToLeft="1" view="pageBreakPreview" topLeftCell="A4" zoomScaleNormal="100" zoomScaleSheetLayoutView="100" workbookViewId="0">
      <selection activeCell="O17" sqref="O17"/>
    </sheetView>
  </sheetViews>
  <sheetFormatPr defaultRowHeight="30" customHeight="1"/>
  <cols>
    <col min="1" max="1" width="13" style="8" customWidth="1"/>
    <col min="2" max="2" width="1.28515625" style="8" customWidth="1"/>
    <col min="3" max="3" width="13" style="8" customWidth="1"/>
    <col min="4" max="4" width="1.28515625" style="8" customWidth="1"/>
    <col min="5" max="5" width="13" style="8" customWidth="1"/>
    <col min="6" max="6" width="1.28515625" style="8" customWidth="1"/>
    <col min="7" max="7" width="6.42578125" style="8" customWidth="1"/>
    <col min="8" max="8" width="1.28515625" style="8" customWidth="1"/>
    <col min="9" max="9" width="7.85546875" style="8" customWidth="1"/>
    <col min="10" max="10" width="1.28515625" style="8" customWidth="1"/>
    <col min="11" max="11" width="9.140625" style="8" customWidth="1"/>
    <col min="12" max="12" width="1.28515625" style="8" customWidth="1"/>
    <col min="13" max="13" width="2.5703125" style="8" customWidth="1"/>
    <col min="14" max="14" width="1.28515625" style="8" customWidth="1"/>
    <col min="15" max="15" width="9.140625" style="8" customWidth="1"/>
    <col min="16" max="16" width="1.28515625" style="8" customWidth="1"/>
    <col min="17" max="17" width="2.5703125" style="8" customWidth="1"/>
    <col min="18" max="20" width="1.28515625" style="8" customWidth="1"/>
    <col min="21" max="21" width="6.42578125" style="8" customWidth="1"/>
    <col min="22" max="22" width="1.28515625" style="8" customWidth="1"/>
    <col min="23" max="23" width="2.5703125" style="8" customWidth="1"/>
    <col min="24" max="26" width="1.28515625" style="8" customWidth="1"/>
    <col min="27" max="27" width="6.42578125" style="8" customWidth="1"/>
    <col min="28" max="28" width="1.28515625" style="8" customWidth="1"/>
    <col min="29" max="29" width="2.5703125" style="8" customWidth="1"/>
    <col min="30" max="32" width="1.28515625" style="8" customWidth="1"/>
    <col min="33" max="33" width="9.140625" style="8" customWidth="1"/>
    <col min="34" max="34" width="1.28515625" style="8" customWidth="1"/>
    <col min="35" max="35" width="2.5703125" style="8" customWidth="1"/>
    <col min="36" max="36" width="1.28515625" style="8" customWidth="1"/>
    <col min="37" max="37" width="9.140625" style="8" customWidth="1"/>
    <col min="38" max="38" width="1.28515625" style="8" customWidth="1"/>
    <col min="39" max="39" width="4.5703125" style="8" customWidth="1"/>
    <col min="40" max="40" width="1.28515625" style="8" customWidth="1"/>
    <col min="41" max="41" width="9.140625" style="8" customWidth="1"/>
    <col min="42" max="42" width="1.28515625" style="8" customWidth="1"/>
    <col min="43" max="43" width="2.5703125" style="8" customWidth="1"/>
    <col min="44" max="44" width="1.28515625" style="8" customWidth="1"/>
    <col min="45" max="45" width="11.7109375" style="8" customWidth="1"/>
    <col min="46" max="46" width="0.85546875" style="8" customWidth="1"/>
    <col min="47" max="47" width="13" style="8" customWidth="1"/>
    <col min="48" max="48" width="7.7109375" style="8" customWidth="1"/>
    <col min="49" max="49" width="0.28515625" customWidth="1"/>
  </cols>
  <sheetData>
    <row r="1" spans="1:48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</row>
    <row r="2" spans="1:48" ht="30" customHeight="1">
      <c r="A2" s="153" t="s">
        <v>180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</row>
    <row r="3" spans="1:48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</row>
    <row r="4" spans="1:48" ht="30" customHeight="1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</row>
    <row r="5" spans="1:48" ht="30" customHeight="1">
      <c r="A5" s="154" t="s">
        <v>47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</row>
    <row r="6" spans="1:48" ht="30" customHeight="1">
      <c r="I6" s="155" t="s">
        <v>220</v>
      </c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C6" s="155" t="s">
        <v>227</v>
      </c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22"/>
      <c r="AV6"/>
    </row>
    <row r="7" spans="1:48" ht="30" customHeight="1">
      <c r="A7" s="155" t="s">
        <v>48</v>
      </c>
      <c r="B7" s="155"/>
      <c r="C7" s="155"/>
      <c r="D7" s="155"/>
      <c r="E7" s="155"/>
      <c r="F7" s="155"/>
      <c r="G7" s="155"/>
      <c r="I7" s="155" t="s">
        <v>49</v>
      </c>
      <c r="J7" s="155"/>
      <c r="K7" s="155"/>
      <c r="M7" s="155" t="s">
        <v>50</v>
      </c>
      <c r="N7" s="155"/>
      <c r="O7" s="155"/>
      <c r="Q7" s="155" t="s">
        <v>51</v>
      </c>
      <c r="R7" s="155"/>
      <c r="S7" s="155"/>
      <c r="T7" s="155"/>
      <c r="U7" s="155"/>
      <c r="W7" s="155" t="s">
        <v>52</v>
      </c>
      <c r="X7" s="155"/>
      <c r="Y7" s="155"/>
      <c r="Z7" s="155"/>
      <c r="AA7" s="155"/>
      <c r="AC7" s="155" t="s">
        <v>49</v>
      </c>
      <c r="AD7" s="155"/>
      <c r="AE7" s="155"/>
      <c r="AF7" s="155"/>
      <c r="AG7" s="155"/>
      <c r="AI7" s="155" t="s">
        <v>50</v>
      </c>
      <c r="AJ7" s="155"/>
      <c r="AK7" s="155"/>
      <c r="AM7" s="155" t="s">
        <v>51</v>
      </c>
      <c r="AN7" s="155"/>
      <c r="AO7" s="155"/>
      <c r="AQ7" s="155" t="s">
        <v>52</v>
      </c>
      <c r="AR7" s="155"/>
      <c r="AS7" s="155"/>
      <c r="AT7" s="22"/>
      <c r="AV7"/>
    </row>
    <row r="8" spans="1:48" ht="30" customHeight="1">
      <c r="A8" s="156"/>
      <c r="B8" s="156"/>
      <c r="C8" s="156"/>
      <c r="D8" s="156"/>
      <c r="E8" s="156"/>
      <c r="F8" s="156"/>
      <c r="G8" s="156"/>
      <c r="I8" s="156"/>
      <c r="J8" s="156"/>
      <c r="K8" s="156"/>
      <c r="M8" s="156"/>
      <c r="N8" s="156"/>
      <c r="O8" s="156"/>
      <c r="Q8" s="156"/>
      <c r="R8" s="156"/>
      <c r="S8" s="156"/>
      <c r="T8" s="156"/>
      <c r="U8" s="156"/>
      <c r="W8" s="156"/>
      <c r="X8" s="156"/>
      <c r="Y8" s="156"/>
      <c r="Z8" s="156"/>
      <c r="AA8" s="156"/>
      <c r="AC8" s="156"/>
      <c r="AD8" s="156"/>
      <c r="AE8" s="156"/>
      <c r="AF8" s="156"/>
      <c r="AG8" s="156"/>
      <c r="AI8" s="156"/>
      <c r="AJ8" s="156"/>
      <c r="AK8" s="156"/>
      <c r="AM8" s="156"/>
      <c r="AN8" s="156"/>
      <c r="AO8" s="156"/>
      <c r="AQ8" s="156"/>
      <c r="AR8" s="156"/>
      <c r="AS8" s="156"/>
      <c r="AT8" s="22"/>
      <c r="AV8"/>
    </row>
    <row r="9" spans="1:48" ht="30" customHeight="1">
      <c r="A9" s="154" t="s">
        <v>53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</row>
    <row r="10" spans="1:48" ht="30" customHeight="1">
      <c r="C10" s="155" t="s">
        <v>220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Y10" s="155" t="s">
        <v>227</v>
      </c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3"/>
      <c r="AU10" s="155"/>
    </row>
    <row r="11" spans="1:48" ht="30" customHeight="1">
      <c r="A11" s="1" t="s">
        <v>48</v>
      </c>
      <c r="C11" s="2" t="s">
        <v>54</v>
      </c>
      <c r="D11" s="9"/>
      <c r="E11" s="2" t="s">
        <v>55</v>
      </c>
      <c r="F11" s="9"/>
      <c r="G11" s="157" t="s">
        <v>56</v>
      </c>
      <c r="H11" s="157"/>
      <c r="I11" s="157"/>
      <c r="J11" s="9"/>
      <c r="K11" s="157" t="s">
        <v>57</v>
      </c>
      <c r="L11" s="157"/>
      <c r="M11" s="157"/>
      <c r="N11" s="9"/>
      <c r="O11" s="157" t="s">
        <v>50</v>
      </c>
      <c r="P11" s="157"/>
      <c r="Q11" s="157"/>
      <c r="R11" s="9"/>
      <c r="S11" s="157" t="s">
        <v>51</v>
      </c>
      <c r="T11" s="157"/>
      <c r="U11" s="157"/>
      <c r="V11" s="157"/>
      <c r="W11" s="157"/>
      <c r="Y11" s="157" t="s">
        <v>54</v>
      </c>
      <c r="Z11" s="157"/>
      <c r="AA11" s="157"/>
      <c r="AB11" s="157"/>
      <c r="AC11" s="157"/>
      <c r="AD11" s="9"/>
      <c r="AE11" s="157" t="s">
        <v>55</v>
      </c>
      <c r="AF11" s="157"/>
      <c r="AG11" s="157"/>
      <c r="AH11" s="157"/>
      <c r="AI11" s="157"/>
      <c r="AJ11" s="9"/>
      <c r="AK11" s="157" t="s">
        <v>56</v>
      </c>
      <c r="AL11" s="157"/>
      <c r="AM11" s="157"/>
      <c r="AN11" s="9"/>
      <c r="AO11" s="157" t="s">
        <v>57</v>
      </c>
      <c r="AP11" s="157"/>
      <c r="AQ11" s="157"/>
      <c r="AR11" s="9"/>
      <c r="AS11" s="2" t="s">
        <v>50</v>
      </c>
      <c r="AT11" s="22"/>
      <c r="AU11" s="2" t="s">
        <v>51</v>
      </c>
    </row>
    <row r="12" spans="1:48" ht="30" customHeight="1">
      <c r="A12" s="9"/>
      <c r="C12" s="9"/>
      <c r="E12" s="9"/>
      <c r="G12" s="158"/>
      <c r="H12" s="158"/>
      <c r="I12" s="158"/>
      <c r="K12" s="158"/>
      <c r="L12" s="158"/>
      <c r="M12" s="158"/>
      <c r="O12" s="158"/>
      <c r="P12" s="158"/>
      <c r="Q12" s="158"/>
      <c r="R12" s="23"/>
      <c r="S12" s="158"/>
      <c r="T12" s="158"/>
      <c r="U12" s="158"/>
      <c r="V12" s="158"/>
      <c r="W12" s="158"/>
      <c r="X12" s="23"/>
      <c r="Y12" s="158"/>
      <c r="Z12" s="158"/>
      <c r="AA12" s="158"/>
      <c r="AB12" s="158"/>
      <c r="AC12" s="158"/>
      <c r="AD12" s="23"/>
      <c r="AE12" s="158"/>
      <c r="AF12" s="158"/>
      <c r="AG12" s="158"/>
      <c r="AH12" s="158"/>
      <c r="AI12" s="158"/>
      <c r="AK12" s="159"/>
      <c r="AL12" s="159"/>
      <c r="AM12" s="159"/>
      <c r="AO12" s="159"/>
      <c r="AP12" s="159"/>
      <c r="AQ12" s="159"/>
    </row>
    <row r="13" spans="1:48" ht="30" customHeight="1">
      <c r="A13" s="154" t="s">
        <v>58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</row>
    <row r="14" spans="1:48" ht="30" customHeight="1">
      <c r="C14" s="155" t="s">
        <v>220</v>
      </c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O14" s="155" t="s">
        <v>227</v>
      </c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K14" s="159"/>
      <c r="AL14" s="159"/>
      <c r="AM14" s="159"/>
      <c r="AO14" s="159"/>
      <c r="AP14" s="159"/>
      <c r="AQ14" s="159"/>
    </row>
    <row r="15" spans="1:48" ht="30" customHeight="1">
      <c r="A15" s="1" t="s">
        <v>48</v>
      </c>
      <c r="C15" s="2" t="s">
        <v>55</v>
      </c>
      <c r="D15" s="9"/>
      <c r="E15" s="2" t="s">
        <v>57</v>
      </c>
      <c r="F15" s="9"/>
      <c r="G15" s="157" t="s">
        <v>50</v>
      </c>
      <c r="H15" s="157"/>
      <c r="I15" s="157"/>
      <c r="J15" s="9"/>
      <c r="K15" s="157" t="s">
        <v>51</v>
      </c>
      <c r="L15" s="157"/>
      <c r="M15" s="157"/>
      <c r="O15" s="157" t="s">
        <v>55</v>
      </c>
      <c r="P15" s="157"/>
      <c r="Q15" s="157"/>
      <c r="R15" s="157"/>
      <c r="S15" s="157"/>
      <c r="T15" s="9"/>
      <c r="U15" s="157" t="s">
        <v>57</v>
      </c>
      <c r="V15" s="157"/>
      <c r="W15" s="157"/>
      <c r="X15" s="157"/>
      <c r="Y15" s="157"/>
      <c r="Z15" s="9"/>
      <c r="AA15" s="157" t="s">
        <v>50</v>
      </c>
      <c r="AB15" s="157"/>
      <c r="AC15" s="157"/>
      <c r="AD15" s="157"/>
      <c r="AE15" s="157"/>
      <c r="AF15" s="9"/>
      <c r="AG15" s="157" t="s">
        <v>51</v>
      </c>
      <c r="AH15" s="157"/>
      <c r="AI15" s="157"/>
      <c r="AK15" s="159"/>
      <c r="AL15" s="159"/>
      <c r="AM15" s="159"/>
      <c r="AO15" s="159"/>
      <c r="AP15" s="159"/>
      <c r="AQ15" s="159"/>
    </row>
    <row r="16" spans="1:48" ht="30" customHeight="1">
      <c r="A16" s="9"/>
      <c r="C16" s="9"/>
      <c r="E16" s="9"/>
      <c r="G16" s="158"/>
      <c r="H16" s="158"/>
      <c r="I16" s="158"/>
      <c r="K16" s="158"/>
      <c r="L16" s="158"/>
      <c r="M16" s="158"/>
      <c r="O16" s="158"/>
      <c r="P16" s="158"/>
      <c r="Q16" s="158"/>
      <c r="R16" s="158"/>
      <c r="S16" s="158"/>
      <c r="U16" s="158"/>
      <c r="V16" s="158"/>
      <c r="W16" s="158"/>
      <c r="X16" s="158"/>
      <c r="Y16" s="158"/>
      <c r="AA16" s="158"/>
      <c r="AB16" s="158"/>
      <c r="AC16" s="158"/>
      <c r="AD16" s="158"/>
      <c r="AE16" s="158"/>
      <c r="AG16" s="9"/>
      <c r="AH16" s="9"/>
      <c r="AI16" s="9"/>
      <c r="AK16" s="159"/>
      <c r="AL16" s="159"/>
      <c r="AM16" s="159"/>
      <c r="AO16" s="159"/>
      <c r="AP16" s="159"/>
      <c r="AQ16" s="159"/>
    </row>
  </sheetData>
  <mergeCells count="64">
    <mergeCell ref="S12:W12"/>
    <mergeCell ref="Y12:AC12"/>
    <mergeCell ref="AE12:AI12"/>
    <mergeCell ref="AO16:AQ16"/>
    <mergeCell ref="AK15:AM15"/>
    <mergeCell ref="AK16:AM16"/>
    <mergeCell ref="O16:S16"/>
    <mergeCell ref="U15:Y15"/>
    <mergeCell ref="AA15:AE15"/>
    <mergeCell ref="AK14:AM14"/>
    <mergeCell ref="AO14:AQ14"/>
    <mergeCell ref="AO15:AQ15"/>
    <mergeCell ref="AK12:AM12"/>
    <mergeCell ref="AO12:AQ12"/>
    <mergeCell ref="O12:Q12"/>
    <mergeCell ref="K16:M16"/>
    <mergeCell ref="AG15:AI15"/>
    <mergeCell ref="M8:O8"/>
    <mergeCell ref="A8:G8"/>
    <mergeCell ref="I8:K8"/>
    <mergeCell ref="U16:Y16"/>
    <mergeCell ref="AA16:AE16"/>
    <mergeCell ref="G16:I16"/>
    <mergeCell ref="G12:I12"/>
    <mergeCell ref="K12:M12"/>
    <mergeCell ref="A13:AV13"/>
    <mergeCell ref="C14:M14"/>
    <mergeCell ref="O14:AI14"/>
    <mergeCell ref="G15:I15"/>
    <mergeCell ref="K15:M15"/>
    <mergeCell ref="O15:S15"/>
    <mergeCell ref="C10:W10"/>
    <mergeCell ref="Y10:AU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C7:AG7"/>
    <mergeCell ref="AI7:AK7"/>
    <mergeCell ref="AM7:AO7"/>
    <mergeCell ref="AQ7:AS7"/>
    <mergeCell ref="A9:AV9"/>
    <mergeCell ref="A7:G7"/>
    <mergeCell ref="I7:K7"/>
    <mergeCell ref="M7:O7"/>
    <mergeCell ref="Q7:U7"/>
    <mergeCell ref="W7:AA7"/>
    <mergeCell ref="AM8:AO8"/>
    <mergeCell ref="AQ8:AS8"/>
    <mergeCell ref="AI8:AK8"/>
    <mergeCell ref="AC8:AG8"/>
    <mergeCell ref="W8:AA8"/>
    <mergeCell ref="Q8:U8"/>
    <mergeCell ref="A1:AV1"/>
    <mergeCell ref="A2:AV2"/>
    <mergeCell ref="A3:AV3"/>
    <mergeCell ref="A5:AV5"/>
    <mergeCell ref="I6:AA6"/>
    <mergeCell ref="AC6:AS6"/>
    <mergeCell ref="A4:AV4"/>
  </mergeCells>
  <pageMargins left="0.39" right="0.39" top="0.39" bottom="0.39" header="0" footer="0"/>
  <pageSetup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AA8"/>
  <sheetViews>
    <sheetView rightToLeft="1" view="pageBreakPreview" zoomScaleNormal="100" zoomScaleSheetLayoutView="100" workbookViewId="0">
      <selection activeCell="W6" sqref="W6:W7"/>
    </sheetView>
  </sheetViews>
  <sheetFormatPr defaultRowHeight="30" customHeight="1"/>
  <cols>
    <col min="1" max="1" width="5.140625" style="26" customWidth="1"/>
    <col min="2" max="2" width="14.28515625" style="26" customWidth="1"/>
    <col min="3" max="3" width="1.28515625" style="26" customWidth="1"/>
    <col min="4" max="4" width="2.5703125" style="26" customWidth="1"/>
    <col min="5" max="5" width="10.42578125" style="26" customWidth="1"/>
    <col min="6" max="6" width="1.28515625" style="26" customWidth="1"/>
    <col min="7" max="7" width="14.28515625" style="26" customWidth="1"/>
    <col min="8" max="8" width="1.28515625" style="26" customWidth="1"/>
    <col min="9" max="9" width="14.28515625" style="26" customWidth="1"/>
    <col min="10" max="10" width="1.28515625" style="26" customWidth="1"/>
    <col min="11" max="11" width="13" style="26" customWidth="1"/>
    <col min="12" max="12" width="1.28515625" style="26" customWidth="1"/>
    <col min="13" max="13" width="13" style="26" customWidth="1"/>
    <col min="14" max="14" width="1.28515625" style="26" customWidth="1"/>
    <col min="15" max="15" width="13" style="26" customWidth="1"/>
    <col min="16" max="16" width="1.28515625" style="26" customWidth="1"/>
    <col min="17" max="17" width="13" style="26" customWidth="1"/>
    <col min="18" max="18" width="1.28515625" style="26" customWidth="1"/>
    <col min="19" max="19" width="15.5703125" style="26" customWidth="1"/>
    <col min="20" max="20" width="1.28515625" style="26" customWidth="1"/>
    <col min="21" max="21" width="14.85546875" style="26" customWidth="1"/>
    <col min="22" max="22" width="1.28515625" style="26" customWidth="1"/>
    <col min="23" max="23" width="14.28515625" style="26" customWidth="1"/>
    <col min="24" max="24" width="1.28515625" style="26" customWidth="1"/>
    <col min="25" max="25" width="16.85546875" style="26" customWidth="1"/>
    <col min="26" max="26" width="1.28515625" style="26" customWidth="1"/>
    <col min="27" max="27" width="15.5703125" style="26" customWidth="1"/>
    <col min="28" max="28" width="0.28515625" customWidth="1"/>
  </cols>
  <sheetData>
    <row r="1" spans="1:27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</row>
    <row r="2" spans="1:27" ht="30" customHeight="1">
      <c r="A2" s="153" t="s">
        <v>180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</row>
    <row r="3" spans="1:27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</row>
    <row r="4" spans="1:27" ht="30" customHeight="1">
      <c r="A4" s="17" t="s">
        <v>59</v>
      </c>
      <c r="B4" s="154" t="s">
        <v>60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</row>
    <row r="5" spans="1:27" ht="30" customHeight="1">
      <c r="E5" s="155" t="s">
        <v>220</v>
      </c>
      <c r="F5" s="155"/>
      <c r="G5" s="155"/>
      <c r="H5" s="155"/>
      <c r="I5" s="155"/>
      <c r="K5" s="155" t="s">
        <v>7</v>
      </c>
      <c r="L5" s="155"/>
      <c r="M5" s="155"/>
      <c r="N5" s="155"/>
      <c r="O5" s="155"/>
      <c r="P5" s="155"/>
      <c r="Q5" s="155"/>
      <c r="S5" s="155" t="s">
        <v>227</v>
      </c>
      <c r="T5" s="155"/>
      <c r="U5" s="155"/>
      <c r="V5" s="155"/>
      <c r="W5" s="155"/>
      <c r="X5" s="155"/>
      <c r="Y5" s="155"/>
      <c r="Z5" s="155"/>
      <c r="AA5" s="155"/>
    </row>
    <row r="6" spans="1:27" ht="30" customHeight="1">
      <c r="A6" s="153" t="s">
        <v>63</v>
      </c>
      <c r="B6" s="153"/>
      <c r="D6" s="153" t="s">
        <v>64</v>
      </c>
      <c r="E6" s="153"/>
      <c r="F6" s="27"/>
      <c r="G6" s="156" t="s">
        <v>11</v>
      </c>
      <c r="H6" s="27"/>
      <c r="I6" s="160" t="s">
        <v>12</v>
      </c>
      <c r="K6" s="157" t="s">
        <v>61</v>
      </c>
      <c r="L6" s="157"/>
      <c r="M6" s="157"/>
      <c r="N6" s="27"/>
      <c r="O6" s="157" t="s">
        <v>62</v>
      </c>
      <c r="P6" s="157"/>
      <c r="Q6" s="157"/>
      <c r="S6" s="156" t="s">
        <v>10</v>
      </c>
      <c r="T6" s="27"/>
      <c r="U6" s="160" t="s">
        <v>65</v>
      </c>
      <c r="V6" s="27"/>
      <c r="W6" s="156" t="s">
        <v>11</v>
      </c>
      <c r="X6" s="27"/>
      <c r="Y6" s="156" t="s">
        <v>12</v>
      </c>
      <c r="Z6" s="27"/>
      <c r="AA6" s="160" t="s">
        <v>15</v>
      </c>
    </row>
    <row r="7" spans="1:27" ht="30" customHeight="1">
      <c r="A7" s="162"/>
      <c r="B7" s="162"/>
      <c r="D7" s="162"/>
      <c r="E7" s="162"/>
      <c r="G7" s="162"/>
      <c r="I7" s="161"/>
      <c r="K7" s="2" t="s">
        <v>10</v>
      </c>
      <c r="L7" s="27"/>
      <c r="M7" s="2" t="s">
        <v>11</v>
      </c>
      <c r="O7" s="2" t="s">
        <v>10</v>
      </c>
      <c r="P7" s="27"/>
      <c r="Q7" s="2" t="s">
        <v>13</v>
      </c>
      <c r="S7" s="162"/>
      <c r="U7" s="161"/>
      <c r="W7" s="162"/>
      <c r="Y7" s="162"/>
      <c r="AA7" s="161"/>
    </row>
    <row r="8" spans="1:27" ht="30" customHeight="1">
      <c r="A8" s="163"/>
      <c r="B8" s="163"/>
      <c r="D8" s="163"/>
      <c r="E8" s="163"/>
    </row>
  </sheetData>
  <mergeCells count="20">
    <mergeCell ref="A6:B7"/>
    <mergeCell ref="D8:E8"/>
    <mergeCell ref="A8:B8"/>
    <mergeCell ref="K6:M6"/>
    <mergeCell ref="O6:Q6"/>
    <mergeCell ref="I6:I7"/>
    <mergeCell ref="G6:G7"/>
    <mergeCell ref="D6:E7"/>
    <mergeCell ref="A1:AA1"/>
    <mergeCell ref="A2:AA2"/>
    <mergeCell ref="A3:AA3"/>
    <mergeCell ref="B4:AA4"/>
    <mergeCell ref="E5:I5"/>
    <mergeCell ref="K5:Q5"/>
    <mergeCell ref="S5:AA5"/>
    <mergeCell ref="U6:U7"/>
    <mergeCell ref="S6:S7"/>
    <mergeCell ref="W6:W7"/>
    <mergeCell ref="Y6:Y7"/>
    <mergeCell ref="AA6:AA7"/>
  </mergeCells>
  <pageMargins left="0.39" right="0.39" top="0.39" bottom="0.39" header="0" footer="0"/>
  <pageSetup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  <pageSetUpPr fitToPage="1"/>
  </sheetPr>
  <dimension ref="A1:AL7"/>
  <sheetViews>
    <sheetView rightToLeft="1" view="pageBreakPreview" zoomScaleNormal="100" zoomScaleSheetLayoutView="100" workbookViewId="0">
      <selection activeCell="AD6" sqref="AD6:AD7"/>
    </sheetView>
  </sheetViews>
  <sheetFormatPr defaultRowHeight="30" customHeight="1"/>
  <cols>
    <col min="1" max="1" width="5.140625" customWidth="1"/>
    <col min="2" max="2" width="21.1406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0.1406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6" customWidth="1"/>
    <col min="39" max="39" width="2" customWidth="1"/>
  </cols>
  <sheetData>
    <row r="1" spans="1:38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</row>
    <row r="2" spans="1:38" ht="30" customHeight="1">
      <c r="A2" s="153" t="s">
        <v>180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</row>
    <row r="3" spans="1:38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</row>
    <row r="4" spans="1:38" s="26" customFormat="1" ht="30" customHeight="1">
      <c r="A4" s="17" t="s">
        <v>66</v>
      </c>
      <c r="B4" s="154" t="s">
        <v>67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</row>
    <row r="5" spans="1:38" ht="30" customHeight="1">
      <c r="A5" s="155" t="s">
        <v>68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 t="s">
        <v>220</v>
      </c>
      <c r="Q5" s="155"/>
      <c r="R5" s="155"/>
      <c r="S5" s="155"/>
      <c r="T5" s="155"/>
      <c r="V5" s="155" t="s">
        <v>7</v>
      </c>
      <c r="W5" s="155"/>
      <c r="X5" s="155"/>
      <c r="Y5" s="155"/>
      <c r="Z5" s="155"/>
      <c r="AA5" s="155"/>
      <c r="AB5" s="155"/>
      <c r="AD5" s="155" t="s">
        <v>227</v>
      </c>
      <c r="AE5" s="155"/>
      <c r="AF5" s="155"/>
      <c r="AG5" s="155"/>
      <c r="AH5" s="155"/>
      <c r="AI5" s="155"/>
      <c r="AJ5" s="155"/>
      <c r="AK5" s="155"/>
      <c r="AL5" s="155"/>
    </row>
    <row r="6" spans="1:38" s="25" customFormat="1" ht="29.25" customHeight="1">
      <c r="A6" s="160" t="s">
        <v>69</v>
      </c>
      <c r="B6" s="160"/>
      <c r="C6" s="24"/>
      <c r="D6" s="160" t="s">
        <v>70</v>
      </c>
      <c r="E6" s="24"/>
      <c r="F6" s="160" t="s">
        <v>71</v>
      </c>
      <c r="G6" s="24"/>
      <c r="H6" s="160" t="s">
        <v>72</v>
      </c>
      <c r="I6" s="24"/>
      <c r="J6" s="160" t="s">
        <v>73</v>
      </c>
      <c r="K6" s="24"/>
      <c r="L6" s="160" t="s">
        <v>74</v>
      </c>
      <c r="M6" s="24"/>
      <c r="N6" s="160" t="s">
        <v>52</v>
      </c>
      <c r="O6" s="24"/>
      <c r="P6" s="160" t="s">
        <v>10</v>
      </c>
      <c r="Q6" s="24"/>
      <c r="R6" s="160" t="s">
        <v>11</v>
      </c>
      <c r="S6" s="24"/>
      <c r="T6" s="160" t="s">
        <v>12</v>
      </c>
      <c r="V6" s="164" t="s">
        <v>8</v>
      </c>
      <c r="W6" s="164"/>
      <c r="X6" s="164"/>
      <c r="Y6" s="24"/>
      <c r="Z6" s="164" t="s">
        <v>9</v>
      </c>
      <c r="AA6" s="164"/>
      <c r="AB6" s="164"/>
      <c r="AD6" s="160" t="s">
        <v>10</v>
      </c>
      <c r="AE6" s="24"/>
      <c r="AF6" s="160" t="s">
        <v>14</v>
      </c>
      <c r="AG6" s="24"/>
      <c r="AH6" s="160" t="s">
        <v>11</v>
      </c>
      <c r="AI6" s="24"/>
      <c r="AJ6" s="160" t="s">
        <v>12</v>
      </c>
      <c r="AK6" s="24"/>
      <c r="AL6" s="160" t="s">
        <v>186</v>
      </c>
    </row>
    <row r="7" spans="1:38" s="25" customFormat="1" ht="27.75" customHeight="1">
      <c r="A7" s="161"/>
      <c r="B7" s="161"/>
      <c r="D7" s="161"/>
      <c r="F7" s="161"/>
      <c r="H7" s="161"/>
      <c r="J7" s="161"/>
      <c r="L7" s="161"/>
      <c r="N7" s="161"/>
      <c r="P7" s="161"/>
      <c r="R7" s="161"/>
      <c r="T7" s="161"/>
      <c r="V7" s="7" t="s">
        <v>10</v>
      </c>
      <c r="W7" s="24"/>
      <c r="X7" s="7" t="s">
        <v>11</v>
      </c>
      <c r="Z7" s="7" t="s">
        <v>10</v>
      </c>
      <c r="AA7" s="24"/>
      <c r="AB7" s="7" t="s">
        <v>13</v>
      </c>
      <c r="AD7" s="161"/>
      <c r="AF7" s="161"/>
      <c r="AH7" s="161"/>
      <c r="AJ7" s="161"/>
      <c r="AL7" s="161"/>
    </row>
  </sheetData>
  <mergeCells count="25">
    <mergeCell ref="R6:R7"/>
    <mergeCell ref="T6:T7"/>
    <mergeCell ref="D6:D7"/>
    <mergeCell ref="F6:F7"/>
    <mergeCell ref="AL6:AL7"/>
    <mergeCell ref="AJ6:AJ7"/>
    <mergeCell ref="AH6:AH7"/>
    <mergeCell ref="AF6:AF7"/>
    <mergeCell ref="AD6:AD7"/>
    <mergeCell ref="V6:X6"/>
    <mergeCell ref="Z6:AB6"/>
    <mergeCell ref="P6:P7"/>
    <mergeCell ref="A1:AL1"/>
    <mergeCell ref="A2:AL2"/>
    <mergeCell ref="A3:AL3"/>
    <mergeCell ref="B4:AL4"/>
    <mergeCell ref="A5:O5"/>
    <mergeCell ref="P5:T5"/>
    <mergeCell ref="V5:AB5"/>
    <mergeCell ref="AD5:AL5"/>
    <mergeCell ref="A6:B7"/>
    <mergeCell ref="H6:H7"/>
    <mergeCell ref="J6:J7"/>
    <mergeCell ref="L6:L7"/>
    <mergeCell ref="N6:N7"/>
  </mergeCells>
  <pageMargins left="0.39" right="0.39" top="0.39" bottom="0.39" header="0" footer="0"/>
  <pageSetup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  <pageSetUpPr fitToPage="1"/>
  </sheetPr>
  <dimension ref="A1:M6"/>
  <sheetViews>
    <sheetView rightToLeft="1" view="pageBreakPreview" zoomScaleNormal="100" zoomScaleSheetLayoutView="100" workbookViewId="0">
      <selection activeCell="G17" sqref="G17"/>
    </sheetView>
  </sheetViews>
  <sheetFormatPr defaultRowHeight="30" customHeight="1"/>
  <cols>
    <col min="1" max="1" width="17.5703125" style="18" customWidth="1"/>
    <col min="2" max="2" width="1.28515625" style="18" customWidth="1"/>
    <col min="3" max="3" width="10.140625" style="18" customWidth="1"/>
    <col min="4" max="4" width="1.28515625" style="18" customWidth="1"/>
    <col min="5" max="5" width="15.5703125" style="18" customWidth="1"/>
    <col min="6" max="6" width="1.28515625" style="18" customWidth="1"/>
    <col min="7" max="7" width="15.28515625" style="18" customWidth="1"/>
    <col min="8" max="8" width="1.28515625" style="18" customWidth="1"/>
    <col min="9" max="9" width="13" style="18" customWidth="1"/>
    <col min="10" max="10" width="1.28515625" style="18" customWidth="1"/>
    <col min="11" max="11" width="25.85546875" style="18" customWidth="1"/>
    <col min="12" max="12" width="1.28515625" style="18" customWidth="1"/>
    <col min="13" max="13" width="19.7109375" style="18" customWidth="1"/>
    <col min="14" max="14" width="0.28515625" style="18" customWidth="1"/>
    <col min="15" max="16384" width="9.140625" style="18"/>
  </cols>
  <sheetData>
    <row r="1" spans="1:13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30" customHeight="1">
      <c r="A2" s="153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</row>
    <row r="4" spans="1:13" ht="30" customHeight="1">
      <c r="A4" s="154" t="s">
        <v>75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</row>
    <row r="5" spans="1:13" ht="30" customHeight="1">
      <c r="C5" s="155" t="s">
        <v>227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3" ht="30" customHeight="1">
      <c r="A6" s="1" t="s">
        <v>76</v>
      </c>
      <c r="C6" s="2" t="s">
        <v>10</v>
      </c>
      <c r="D6" s="19"/>
      <c r="E6" s="2" t="s">
        <v>77</v>
      </c>
      <c r="F6" s="19"/>
      <c r="G6" s="2" t="s">
        <v>78</v>
      </c>
      <c r="H6" s="19"/>
      <c r="I6" s="2" t="s">
        <v>79</v>
      </c>
      <c r="J6" s="19"/>
      <c r="K6" s="2" t="s">
        <v>80</v>
      </c>
      <c r="L6" s="19"/>
      <c r="M6" s="2" t="s">
        <v>81</v>
      </c>
    </row>
  </sheetData>
  <mergeCells count="5">
    <mergeCell ref="C5:M5"/>
    <mergeCell ref="A1:M1"/>
    <mergeCell ref="A2:M2"/>
    <mergeCell ref="A3:M3"/>
    <mergeCell ref="A4:M4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P10"/>
  <sheetViews>
    <sheetView rightToLeft="1" view="pageBreakPreview" zoomScaleNormal="100" zoomScaleSheetLayoutView="100" workbookViewId="0">
      <selection activeCell="O12" sqref="A12:O12"/>
    </sheetView>
  </sheetViews>
  <sheetFormatPr defaultRowHeight="30" customHeight="1"/>
  <cols>
    <col min="1" max="1" width="5.140625" style="18" customWidth="1"/>
    <col min="2" max="2" width="35" style="18" customWidth="1"/>
    <col min="3" max="3" width="1.28515625" style="18" customWidth="1"/>
    <col min="4" max="4" width="20.140625" style="18" customWidth="1"/>
    <col min="5" max="5" width="1.28515625" style="18" customWidth="1"/>
    <col min="6" max="6" width="19.7109375" style="18" customWidth="1"/>
    <col min="7" max="7" width="1.28515625" style="18" customWidth="1"/>
    <col min="8" max="8" width="20" style="18" customWidth="1"/>
    <col min="9" max="9" width="1.28515625" style="18" customWidth="1"/>
    <col min="10" max="10" width="17.28515625" style="18" bestFit="1" customWidth="1"/>
    <col min="11" max="11" width="1.28515625" style="18" customWidth="1"/>
    <col min="12" max="12" width="14.140625" style="18" customWidth="1"/>
    <col min="13" max="13" width="0.28515625" style="26" customWidth="1"/>
    <col min="14" max="15" width="9.140625" style="26"/>
    <col min="16" max="16" width="14.42578125" style="26" customWidth="1"/>
    <col min="17" max="16384" width="9.140625" style="26"/>
  </cols>
  <sheetData>
    <row r="1" spans="1:16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2" spans="1:16" ht="30" customHeight="1">
      <c r="A2" s="153" t="s">
        <v>180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6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</row>
    <row r="4" spans="1:16" ht="30" customHeight="1">
      <c r="A4" s="17" t="s">
        <v>82</v>
      </c>
      <c r="B4" s="154" t="s">
        <v>83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</row>
    <row r="5" spans="1:16" ht="30" customHeight="1">
      <c r="D5" s="1" t="s">
        <v>220</v>
      </c>
      <c r="F5" s="155" t="s">
        <v>7</v>
      </c>
      <c r="G5" s="155"/>
      <c r="H5" s="155"/>
      <c r="J5" s="165" t="s">
        <v>227</v>
      </c>
      <c r="K5" s="165"/>
      <c r="L5" s="165"/>
    </row>
    <row r="6" spans="1:16" ht="40.5" customHeight="1">
      <c r="A6" s="155" t="s">
        <v>84</v>
      </c>
      <c r="B6" s="155"/>
      <c r="D6" s="1" t="s">
        <v>85</v>
      </c>
      <c r="F6" s="1" t="s">
        <v>86</v>
      </c>
      <c r="H6" s="1" t="s">
        <v>87</v>
      </c>
      <c r="J6" s="22" t="s">
        <v>85</v>
      </c>
      <c r="L6" s="78" t="s">
        <v>15</v>
      </c>
      <c r="P6" s="12"/>
    </row>
    <row r="7" spans="1:16" ht="30" customHeight="1">
      <c r="A7" s="158" t="s">
        <v>88</v>
      </c>
      <c r="B7" s="158"/>
      <c r="C7" s="8"/>
      <c r="D7" s="10">
        <v>32818875118</v>
      </c>
      <c r="E7" s="8"/>
      <c r="F7" s="10">
        <v>610587808364</v>
      </c>
      <c r="G7" s="8"/>
      <c r="H7" s="82">
        <v>-642720591611</v>
      </c>
      <c r="I7" s="8"/>
      <c r="J7" s="117">
        <f>D7+F7+H7</f>
        <v>686091871</v>
      </c>
      <c r="K7" s="8"/>
      <c r="L7" s="13">
        <v>0</v>
      </c>
    </row>
    <row r="8" spans="1:16" ht="30" customHeight="1">
      <c r="A8" s="159" t="s">
        <v>89</v>
      </c>
      <c r="B8" s="159"/>
      <c r="C8" s="8"/>
      <c r="D8" s="12">
        <v>5375208</v>
      </c>
      <c r="E8" s="8"/>
      <c r="F8" s="12">
        <v>92600015926</v>
      </c>
      <c r="G8" s="8"/>
      <c r="H8" s="83">
        <v>-92601500000</v>
      </c>
      <c r="I8" s="8"/>
      <c r="J8" s="12">
        <f>D8+F8+H8</f>
        <v>3891134</v>
      </c>
      <c r="K8" s="8"/>
      <c r="L8" s="13">
        <v>0</v>
      </c>
    </row>
    <row r="9" spans="1:16" ht="30" customHeight="1">
      <c r="A9" s="159" t="s">
        <v>90</v>
      </c>
      <c r="B9" s="159"/>
      <c r="C9" s="8"/>
      <c r="D9" s="14">
        <v>17100530</v>
      </c>
      <c r="E9" s="8"/>
      <c r="F9" s="14">
        <v>69990</v>
      </c>
      <c r="G9" s="8"/>
      <c r="H9" s="84">
        <v>0</v>
      </c>
      <c r="I9" s="8"/>
      <c r="J9" s="12">
        <f>D9+F9+H9</f>
        <v>17170520</v>
      </c>
      <c r="K9" s="8"/>
      <c r="L9" s="15">
        <v>0</v>
      </c>
    </row>
    <row r="10" spans="1:16" s="30" customFormat="1" ht="30" customHeight="1">
      <c r="A10" s="153" t="s">
        <v>46</v>
      </c>
      <c r="B10" s="153"/>
      <c r="C10" s="22"/>
      <c r="D10" s="28">
        <f>SUM(D7:D9)</f>
        <v>32841350856</v>
      </c>
      <c r="E10" s="22"/>
      <c r="F10" s="28">
        <f>SUM(F7:F9)</f>
        <v>703187894280</v>
      </c>
      <c r="G10" s="22"/>
      <c r="H10" s="85">
        <f>SUM(H7:H9)</f>
        <v>-735322091611</v>
      </c>
      <c r="I10" s="22"/>
      <c r="J10" s="58">
        <f>SUM(J7:J9)</f>
        <v>707153525</v>
      </c>
      <c r="K10" s="22"/>
      <c r="L10" s="29">
        <f>SUM(L7:L9)</f>
        <v>0</v>
      </c>
    </row>
  </sheetData>
  <mergeCells count="11">
    <mergeCell ref="A6:B6"/>
    <mergeCell ref="A7:B7"/>
    <mergeCell ref="A8:B8"/>
    <mergeCell ref="A9:B9"/>
    <mergeCell ref="A10:B10"/>
    <mergeCell ref="A1:L1"/>
    <mergeCell ref="A2:L2"/>
    <mergeCell ref="A3:L3"/>
    <mergeCell ref="B4:L4"/>
    <mergeCell ref="F5:H5"/>
    <mergeCell ref="J5:L5"/>
  </mergeCells>
  <pageMargins left="0.39" right="0.39" top="0.39" bottom="0.39" header="0" footer="0"/>
  <pageSetup scale="9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N15"/>
  <sheetViews>
    <sheetView rightToLeft="1" view="pageBreakPreview" zoomScaleNormal="100" zoomScaleSheetLayoutView="100" workbookViewId="0">
      <selection activeCell="H14" sqref="H14:J14"/>
    </sheetView>
  </sheetViews>
  <sheetFormatPr defaultRowHeight="30" customHeight="1"/>
  <cols>
    <col min="1" max="1" width="2.5703125" style="8" customWidth="1"/>
    <col min="2" max="2" width="49.5703125" style="8" customWidth="1"/>
    <col min="3" max="3" width="1.28515625" style="8" customWidth="1"/>
    <col min="4" max="4" width="11.7109375" style="8" customWidth="1"/>
    <col min="5" max="5" width="1.28515625" style="8" customWidth="1"/>
    <col min="6" max="6" width="22" style="8" customWidth="1"/>
    <col min="7" max="7" width="1.28515625" style="8" customWidth="1"/>
    <col min="8" max="8" width="12.42578125" style="70" customWidth="1"/>
    <col min="9" max="9" width="1.28515625" style="8" customWidth="1"/>
    <col min="10" max="10" width="14.28515625" style="8" customWidth="1"/>
    <col min="11" max="11" width="0.28515625" style="18" customWidth="1"/>
    <col min="12" max="12" width="19.85546875" style="40" bestFit="1" customWidth="1"/>
    <col min="13" max="13" width="9.140625" style="74"/>
    <col min="14" max="16384" width="9.140625" style="18"/>
  </cols>
  <sheetData>
    <row r="1" spans="1:14" ht="30" customHeight="1">
      <c r="A1" s="153" t="s">
        <v>179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4" ht="30" customHeight="1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4" ht="30" customHeight="1">
      <c r="A3" s="153" t="s">
        <v>226</v>
      </c>
      <c r="B3" s="153"/>
      <c r="C3" s="153"/>
      <c r="D3" s="153"/>
      <c r="E3" s="153"/>
      <c r="F3" s="153"/>
      <c r="G3" s="153"/>
      <c r="H3" s="153"/>
      <c r="I3" s="153"/>
      <c r="J3" s="153"/>
    </row>
    <row r="4" spans="1:14" s="33" customFormat="1" ht="30" customHeight="1">
      <c r="A4" s="17" t="s">
        <v>92</v>
      </c>
      <c r="B4" s="154" t="s">
        <v>93</v>
      </c>
      <c r="C4" s="154"/>
      <c r="D4" s="154"/>
      <c r="E4" s="154"/>
      <c r="F4" s="154"/>
      <c r="G4" s="154"/>
      <c r="H4" s="154"/>
      <c r="I4" s="154"/>
      <c r="J4" s="154"/>
      <c r="L4" s="77"/>
      <c r="M4" s="75"/>
    </row>
    <row r="5" spans="1:14" ht="42" customHeight="1">
      <c r="A5" s="155" t="s">
        <v>94</v>
      </c>
      <c r="B5" s="155"/>
      <c r="D5" s="1" t="s">
        <v>95</v>
      </c>
      <c r="F5" s="1" t="s">
        <v>85</v>
      </c>
      <c r="H5" s="68" t="s">
        <v>96</v>
      </c>
      <c r="I5" s="20"/>
      <c r="J5" s="81" t="s">
        <v>97</v>
      </c>
    </row>
    <row r="6" spans="1:14" ht="30" customHeight="1">
      <c r="A6" s="167" t="s">
        <v>98</v>
      </c>
      <c r="B6" s="167"/>
      <c r="D6" s="9" t="s">
        <v>99</v>
      </c>
      <c r="F6" s="44">
        <f>'درآمد سرمایه گذاری در سهام'!I60</f>
        <v>396221880128</v>
      </c>
      <c r="H6" s="69">
        <f>F6/F11</f>
        <v>0.99999973807611842</v>
      </c>
      <c r="J6" s="69">
        <v>6.6000000000000003E-2</v>
      </c>
    </row>
    <row r="7" spans="1:14" ht="30" customHeight="1">
      <c r="A7" s="168" t="s">
        <v>100</v>
      </c>
      <c r="B7" s="168"/>
      <c r="D7" s="8" t="s">
        <v>101</v>
      </c>
      <c r="F7" s="12">
        <v>0</v>
      </c>
      <c r="H7" s="70">
        <v>0</v>
      </c>
      <c r="J7" s="76">
        <v>0</v>
      </c>
    </row>
    <row r="8" spans="1:14" ht="30" customHeight="1">
      <c r="A8" s="168" t="s">
        <v>102</v>
      </c>
      <c r="B8" s="168"/>
      <c r="D8" s="8" t="s">
        <v>103</v>
      </c>
      <c r="F8" s="12">
        <v>0</v>
      </c>
      <c r="H8" s="70">
        <v>0</v>
      </c>
      <c r="J8" s="76">
        <v>0</v>
      </c>
    </row>
    <row r="9" spans="1:14" ht="30" customHeight="1">
      <c r="A9" s="168" t="s">
        <v>104</v>
      </c>
      <c r="B9" s="168"/>
      <c r="D9" s="8" t="s">
        <v>105</v>
      </c>
      <c r="F9" s="12">
        <f>'درآمد سپرده بانکی'!D10</f>
        <v>103780</v>
      </c>
      <c r="H9" s="70">
        <f>F9/F11</f>
        <v>2.6192388159889936E-7</v>
      </c>
      <c r="J9" s="76">
        <f>F9/3314972105808</f>
        <v>3.1306447441344124E-8</v>
      </c>
    </row>
    <row r="10" spans="1:14" ht="30" customHeight="1">
      <c r="A10" s="168" t="s">
        <v>106</v>
      </c>
      <c r="B10" s="168"/>
      <c r="D10" s="8" t="s">
        <v>107</v>
      </c>
      <c r="H10" s="71">
        <f>[1]درآمد!F15/F11</f>
        <v>0</v>
      </c>
      <c r="J10" s="71">
        <v>0</v>
      </c>
    </row>
    <row r="11" spans="1:14" ht="30" customHeight="1" thickBot="1">
      <c r="A11" s="153" t="s">
        <v>46</v>
      </c>
      <c r="B11" s="153"/>
      <c r="D11" s="12"/>
      <c r="F11" s="67">
        <f>SUM(F6:F9)</f>
        <v>396221983908</v>
      </c>
      <c r="G11" s="22"/>
      <c r="H11" s="73">
        <f>SUM(H6:H10)</f>
        <v>1</v>
      </c>
      <c r="I11" s="22"/>
      <c r="J11" s="72">
        <f>SUM(J6:J10)</f>
        <v>6.6000031306447438E-2</v>
      </c>
      <c r="N11" s="121"/>
    </row>
    <row r="12" spans="1:14" ht="30" customHeight="1" thickTop="1"/>
    <row r="14" spans="1:14" ht="30" customHeight="1">
      <c r="F14" s="12"/>
      <c r="H14" s="166"/>
      <c r="I14" s="166"/>
      <c r="J14" s="166"/>
    </row>
    <row r="15" spans="1:14" ht="30" customHeight="1">
      <c r="D15" s="12"/>
    </row>
  </sheetData>
  <mergeCells count="12">
    <mergeCell ref="H14:J14"/>
    <mergeCell ref="A1:J1"/>
    <mergeCell ref="A2:J2"/>
    <mergeCell ref="A3:J3"/>
    <mergeCell ref="B4:J4"/>
    <mergeCell ref="A5:B5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AK67"/>
  <sheetViews>
    <sheetView rightToLeft="1" view="pageBreakPreview" topLeftCell="A34" zoomScale="60" zoomScaleNormal="100" workbookViewId="0">
      <selection activeCell="C61" sqref="C61"/>
    </sheetView>
  </sheetViews>
  <sheetFormatPr defaultRowHeight="30" customHeight="1"/>
  <cols>
    <col min="1" max="1" width="27.28515625" style="37" bestFit="1" customWidth="1"/>
    <col min="2" max="2" width="1.28515625" style="18" customWidth="1"/>
    <col min="3" max="3" width="20.140625" style="18" bestFit="1" customWidth="1"/>
    <col min="4" max="4" width="1.28515625" style="18" customWidth="1"/>
    <col min="5" max="5" width="18.85546875" style="18" customWidth="1"/>
    <col min="6" max="6" width="1.28515625" style="18" customWidth="1"/>
    <col min="7" max="7" width="21" style="114" customWidth="1"/>
    <col min="8" max="8" width="1.28515625" style="18" customWidth="1"/>
    <col min="9" max="9" width="20.140625" style="114" customWidth="1"/>
    <col min="10" max="10" width="1.28515625" style="18" customWidth="1"/>
    <col min="11" max="11" width="17.28515625" style="18" bestFit="1" customWidth="1"/>
    <col min="12" max="12" width="1.28515625" style="18" customWidth="1"/>
    <col min="13" max="13" width="18.5703125" style="18" customWidth="1"/>
    <col min="14" max="16" width="1.28515625" style="18" customWidth="1"/>
    <col min="17" max="17" width="19" style="18" customWidth="1"/>
    <col min="18" max="18" width="0.5703125" style="18" customWidth="1"/>
    <col min="19" max="19" width="20.140625" style="114" customWidth="1"/>
    <col min="20" max="20" width="0.5703125" style="18" customWidth="1"/>
    <col min="21" max="21" width="19.5703125" style="115" customWidth="1"/>
    <col min="22" max="22" width="1.28515625" style="18" customWidth="1"/>
    <col min="23" max="23" width="17.28515625" style="18" bestFit="1" customWidth="1"/>
    <col min="24" max="24" width="0.28515625" customWidth="1"/>
    <col min="25" max="25" width="27.28515625" style="8" bestFit="1" customWidth="1"/>
    <col min="26" max="27" width="1.28515625" style="8" customWidth="1"/>
    <col min="28" max="28" width="19.42578125" style="83" customWidth="1"/>
    <col min="29" max="29" width="1.28515625" style="8" customWidth="1"/>
    <col min="30" max="30" width="13.85546875" style="8" customWidth="1"/>
    <col min="31" max="31" width="1.28515625" style="8" customWidth="1"/>
    <col min="32" max="32" width="19.42578125" style="8" customWidth="1"/>
    <col min="33" max="33" width="1.28515625" style="8" customWidth="1"/>
    <col min="34" max="34" width="20.5703125" style="8" customWidth="1"/>
    <col min="35" max="35" width="19.85546875" style="83" customWidth="1"/>
    <col min="36" max="36" width="24" bestFit="1" customWidth="1"/>
  </cols>
  <sheetData>
    <row r="1" spans="1:35" ht="30" customHeight="1">
      <c r="A1" s="173" t="s">
        <v>179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</row>
    <row r="2" spans="1:35" ht="30" customHeight="1">
      <c r="A2" s="173" t="s">
        <v>182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</row>
    <row r="3" spans="1:35" ht="30" customHeight="1">
      <c r="A3" s="173" t="s">
        <v>226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</row>
    <row r="4" spans="1:35" ht="30" customHeight="1">
      <c r="A4" s="170" t="s">
        <v>197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</row>
    <row r="5" spans="1:35" ht="30" customHeight="1">
      <c r="B5" s="8"/>
      <c r="C5" s="162" t="s">
        <v>108</v>
      </c>
      <c r="D5" s="162"/>
      <c r="E5" s="162"/>
      <c r="F5" s="162"/>
      <c r="G5" s="162"/>
      <c r="H5" s="162"/>
      <c r="I5" s="162"/>
      <c r="J5" s="162"/>
      <c r="K5" s="162"/>
      <c r="L5" s="8"/>
      <c r="M5" s="162" t="s">
        <v>109</v>
      </c>
      <c r="N5" s="162"/>
      <c r="O5" s="162"/>
      <c r="P5" s="162"/>
      <c r="Q5" s="162"/>
      <c r="R5" s="162"/>
      <c r="S5" s="162"/>
      <c r="T5" s="162"/>
      <c r="U5" s="162"/>
      <c r="V5" s="162"/>
      <c r="W5" s="162"/>
      <c r="Y5" s="153"/>
      <c r="AA5" s="153"/>
      <c r="AB5" s="153"/>
      <c r="AD5" s="153"/>
      <c r="AE5" s="153"/>
      <c r="AF5" s="153"/>
      <c r="AG5" s="153"/>
      <c r="AH5" s="153"/>
      <c r="AI5" s="153"/>
    </row>
    <row r="6" spans="1:35" ht="30" customHeight="1">
      <c r="A6" s="153" t="s">
        <v>94</v>
      </c>
      <c r="B6" s="8"/>
      <c r="C6" s="156" t="s">
        <v>110</v>
      </c>
      <c r="D6" s="9"/>
      <c r="E6" s="156" t="s">
        <v>111</v>
      </c>
      <c r="F6" s="9"/>
      <c r="G6" s="171" t="s">
        <v>112</v>
      </c>
      <c r="H6" s="9"/>
      <c r="I6" s="157" t="s">
        <v>46</v>
      </c>
      <c r="J6" s="157"/>
      <c r="K6" s="157"/>
      <c r="L6" s="8"/>
      <c r="M6" s="156" t="s">
        <v>110</v>
      </c>
      <c r="N6" s="9"/>
      <c r="O6" s="156" t="s">
        <v>111</v>
      </c>
      <c r="P6" s="156"/>
      <c r="Q6" s="156"/>
      <c r="R6" s="9"/>
      <c r="S6" s="171" t="s">
        <v>112</v>
      </c>
      <c r="T6" s="9"/>
      <c r="U6" s="157" t="s">
        <v>46</v>
      </c>
      <c r="V6" s="157"/>
      <c r="W6" s="157"/>
      <c r="Y6" s="153"/>
      <c r="AB6" s="100"/>
      <c r="AD6" s="101"/>
      <c r="AF6" s="101"/>
      <c r="AH6" s="101"/>
      <c r="AI6" s="101"/>
    </row>
    <row r="7" spans="1:35" ht="30" customHeight="1">
      <c r="A7" s="162"/>
      <c r="B7" s="8"/>
      <c r="C7" s="162"/>
      <c r="D7" s="8"/>
      <c r="E7" s="162"/>
      <c r="F7" s="8"/>
      <c r="G7" s="172"/>
      <c r="H7" s="8"/>
      <c r="I7" s="102" t="s">
        <v>85</v>
      </c>
      <c r="J7" s="9"/>
      <c r="K7" s="103" t="s">
        <v>96</v>
      </c>
      <c r="L7" s="8"/>
      <c r="M7" s="162"/>
      <c r="N7" s="8"/>
      <c r="O7" s="162"/>
      <c r="P7" s="162"/>
      <c r="Q7" s="162"/>
      <c r="R7" s="8"/>
      <c r="S7" s="172"/>
      <c r="T7" s="8"/>
      <c r="U7" s="104" t="s">
        <v>85</v>
      </c>
      <c r="V7" s="9"/>
      <c r="W7" s="103" t="s">
        <v>96</v>
      </c>
      <c r="Y7" s="37"/>
      <c r="AD7" s="12"/>
      <c r="AF7" s="12"/>
      <c r="AH7" s="83"/>
    </row>
    <row r="8" spans="1:35" ht="30" customHeight="1">
      <c r="A8" s="36" t="s">
        <v>39</v>
      </c>
      <c r="B8" s="8"/>
      <c r="C8" s="12">
        <v>0</v>
      </c>
      <c r="D8" s="8"/>
      <c r="E8" s="119">
        <v>0</v>
      </c>
      <c r="F8" s="8"/>
      <c r="G8" s="119">
        <f>VLOOKUP(A8,'درآمد ناشی از فروش'!$A$7:$Q$47,9,0)</f>
        <v>0</v>
      </c>
      <c r="H8" s="8"/>
      <c r="I8" s="119">
        <f>C8+E8+G8</f>
        <v>0</v>
      </c>
      <c r="J8" s="8"/>
      <c r="K8" s="11"/>
      <c r="L8" s="8"/>
      <c r="M8" s="10">
        <f>VLOOKUP(A8,'درآمد سود سهام'!$A$7:$S$28,19,0)</f>
        <v>1220597080</v>
      </c>
      <c r="N8" s="8"/>
      <c r="O8" s="169">
        <v>0</v>
      </c>
      <c r="P8" s="169"/>
      <c r="Q8" s="169"/>
      <c r="R8" s="8"/>
      <c r="S8" s="105">
        <f>VLOOKUP('درآمد سرمایه گذاری در سهام'!A8,'درآمد ناشی از فروش'!$A$7:$Q$48,17,0)</f>
        <v>-7834248505</v>
      </c>
      <c r="T8" s="8"/>
      <c r="U8" s="93">
        <f>M8+O8+S8</f>
        <v>-6613651425</v>
      </c>
      <c r="V8" s="8"/>
      <c r="W8" s="11"/>
      <c r="Y8" s="37"/>
      <c r="AD8" s="12"/>
      <c r="AF8" s="12"/>
      <c r="AH8" s="83"/>
    </row>
    <row r="9" spans="1:35" ht="30" customHeight="1">
      <c r="A9" s="37" t="s">
        <v>194</v>
      </c>
      <c r="B9" s="8"/>
      <c r="C9" s="12">
        <v>0</v>
      </c>
      <c r="D9" s="8"/>
      <c r="E9" s="94">
        <v>0</v>
      </c>
      <c r="F9" s="8"/>
      <c r="G9" s="98">
        <f>VLOOKUP(A9,'درآمد ناشی از فروش'!$A$7:$Q$47,9,0)</f>
        <v>4033842941</v>
      </c>
      <c r="H9" s="8"/>
      <c r="I9" s="93">
        <f>C9+E9+G9</f>
        <v>4033842941</v>
      </c>
      <c r="J9" s="8"/>
      <c r="K9" s="13"/>
      <c r="L9" s="8"/>
      <c r="M9" s="12">
        <v>0</v>
      </c>
      <c r="N9" s="8"/>
      <c r="O9" s="169">
        <v>0</v>
      </c>
      <c r="P9" s="169"/>
      <c r="Q9" s="169"/>
      <c r="R9" s="8"/>
      <c r="S9" s="106">
        <f>VLOOKUP('درآمد سرمایه گذاری در سهام'!A9,'درآمد ناشی از فروش'!$A$7:$Q$48,17,0)</f>
        <v>4199139439</v>
      </c>
      <c r="T9" s="8"/>
      <c r="U9" s="93">
        <f t="shared" ref="U9:U59" si="0">M9+O9+S9</f>
        <v>4199139439</v>
      </c>
      <c r="V9" s="8"/>
      <c r="W9" s="13"/>
      <c r="Y9" s="37"/>
      <c r="AD9" s="12"/>
      <c r="AF9" s="12"/>
      <c r="AH9" s="83"/>
    </row>
    <row r="10" spans="1:35" ht="30" customHeight="1">
      <c r="A10" s="37" t="s">
        <v>18</v>
      </c>
      <c r="B10" s="8"/>
      <c r="C10" s="12">
        <v>0</v>
      </c>
      <c r="D10" s="8"/>
      <c r="E10" s="94">
        <f>VLOOKUP(A10,'درآمد ناشی از تغییر قیمت اوراق'!A:Q,9,0)</f>
        <v>13242693800</v>
      </c>
      <c r="F10" s="8"/>
      <c r="G10" s="98">
        <f>VLOOKUP(A10,'درآمد ناشی از فروش'!$A$7:$Q$47,9,0)</f>
        <v>0</v>
      </c>
      <c r="H10" s="8"/>
      <c r="I10" s="98">
        <f>C10+E10+G10</f>
        <v>13242693800</v>
      </c>
      <c r="J10" s="8"/>
      <c r="K10" s="13"/>
      <c r="L10" s="8"/>
      <c r="M10" s="12">
        <f>VLOOKUP(A10,'درآمد سود سهام'!$A$7:$S$28,19,0)</f>
        <v>3260399571</v>
      </c>
      <c r="N10" s="8"/>
      <c r="O10" s="169">
        <f>VLOOKUP(A10,'درآمد ناشی از تغییر قیمت اوراق'!$A$7:$Q$40,17,0)</f>
        <v>11735703552</v>
      </c>
      <c r="P10" s="169"/>
      <c r="Q10" s="169"/>
      <c r="R10" s="8"/>
      <c r="S10" s="98">
        <f>VLOOKUP('درآمد سرمایه گذاری در سهام'!A10,'درآمد ناشی از فروش'!$A$7:$Q$48,17,0)</f>
        <v>-18072143418</v>
      </c>
      <c r="T10" s="8"/>
      <c r="U10" s="93">
        <f t="shared" si="0"/>
        <v>-3076040295</v>
      </c>
      <c r="V10" s="8"/>
      <c r="W10" s="13"/>
      <c r="Y10" s="37"/>
      <c r="AD10" s="12"/>
      <c r="AF10" s="12"/>
      <c r="AH10" s="83"/>
    </row>
    <row r="11" spans="1:35" ht="30" customHeight="1">
      <c r="A11" s="37" t="s">
        <v>204</v>
      </c>
      <c r="B11" s="8"/>
      <c r="C11" s="12">
        <v>0</v>
      </c>
      <c r="D11" s="8"/>
      <c r="E11" s="94">
        <v>0</v>
      </c>
      <c r="F11" s="8"/>
      <c r="G11" s="98">
        <f>VLOOKUP(A11,'درآمد ناشی از فروش'!$A$7:$Q$47,9,0)</f>
        <v>0</v>
      </c>
      <c r="H11" s="8"/>
      <c r="I11" s="93">
        <f t="shared" ref="I11:I53" si="1">C11+E11+G11</f>
        <v>0</v>
      </c>
      <c r="J11" s="8"/>
      <c r="K11" s="13"/>
      <c r="L11" s="8"/>
      <c r="M11" s="12">
        <v>0</v>
      </c>
      <c r="N11" s="8"/>
      <c r="O11" s="169">
        <v>0</v>
      </c>
      <c r="P11" s="169"/>
      <c r="Q11" s="169"/>
      <c r="R11" s="8"/>
      <c r="S11" s="98">
        <f>VLOOKUP('درآمد سرمایه گذاری در سهام'!A11,'درآمد ناشی از فروش'!$A$7:$Q$48,17,0)</f>
        <v>4432742421</v>
      </c>
      <c r="T11" s="8"/>
      <c r="U11" s="93">
        <f t="shared" si="0"/>
        <v>4432742421</v>
      </c>
      <c r="V11" s="8"/>
      <c r="W11" s="13"/>
      <c r="Y11" s="37"/>
      <c r="AD11" s="12"/>
      <c r="AF11" s="12"/>
      <c r="AH11" s="83"/>
    </row>
    <row r="12" spans="1:35" ht="30" customHeight="1">
      <c r="A12" s="37" t="s">
        <v>201</v>
      </c>
      <c r="B12" s="8"/>
      <c r="C12" s="12">
        <v>0</v>
      </c>
      <c r="D12" s="8"/>
      <c r="E12" s="94">
        <v>0</v>
      </c>
      <c r="F12" s="8"/>
      <c r="G12" s="98">
        <f>VLOOKUP(A12,'درآمد ناشی از فروش'!$A$7:$Q$47,9,0)</f>
        <v>0</v>
      </c>
      <c r="H12" s="8"/>
      <c r="I12" s="106">
        <f t="shared" si="1"/>
        <v>0</v>
      </c>
      <c r="J12" s="8"/>
      <c r="K12" s="13"/>
      <c r="L12" s="8"/>
      <c r="M12" s="12">
        <v>0</v>
      </c>
      <c r="N12" s="8"/>
      <c r="O12" s="169">
        <v>0</v>
      </c>
      <c r="P12" s="169"/>
      <c r="Q12" s="169"/>
      <c r="R12" s="8"/>
      <c r="S12" s="98">
        <f>VLOOKUP('درآمد سرمایه گذاری در سهام'!A12,'درآمد ناشی از فروش'!$A$7:$Q$48,17,0)</f>
        <v>3139798099</v>
      </c>
      <c r="T12" s="8"/>
      <c r="U12" s="93">
        <f t="shared" si="0"/>
        <v>3139798099</v>
      </c>
      <c r="V12" s="8"/>
      <c r="W12" s="13"/>
      <c r="Y12" s="37"/>
      <c r="AD12" s="12"/>
      <c r="AF12" s="12"/>
      <c r="AH12" s="83"/>
    </row>
    <row r="13" spans="1:35" ht="30" customHeight="1">
      <c r="A13" s="37" t="s">
        <v>210</v>
      </c>
      <c r="B13" s="8"/>
      <c r="C13" s="12">
        <v>0</v>
      </c>
      <c r="D13" s="8"/>
      <c r="E13" s="94">
        <f>VLOOKUP(A13,'درآمد ناشی از تغییر قیمت اوراق'!A:Q,9,0)</f>
        <v>26155125074</v>
      </c>
      <c r="F13" s="8"/>
      <c r="G13" s="98">
        <f>VLOOKUP(A13,'درآمد ناشی از فروش'!$A$7:$Q$47,9,0)</f>
        <v>-4579792008</v>
      </c>
      <c r="H13" s="8"/>
      <c r="I13" s="93">
        <f>C13+E13+G13</f>
        <v>21575333066</v>
      </c>
      <c r="J13" s="8"/>
      <c r="K13" s="13"/>
      <c r="L13" s="8"/>
      <c r="M13" s="12">
        <f>VLOOKUP(A13,'درآمد سود سهام'!$A$7:$S$28,19,0)</f>
        <v>21758072040</v>
      </c>
      <c r="N13" s="8"/>
      <c r="O13" s="169">
        <f>VLOOKUP(A13,'درآمد ناشی از تغییر قیمت اوراق'!$A$7:$Q$40,17,0)</f>
        <v>-1010651405</v>
      </c>
      <c r="P13" s="169"/>
      <c r="Q13" s="169"/>
      <c r="R13" s="8"/>
      <c r="S13" s="98">
        <f>VLOOKUP('درآمد سرمایه گذاری در سهام'!A13,'درآمد ناشی از فروش'!$A$7:$Q$48,17,0)</f>
        <v>-5890663626</v>
      </c>
      <c r="T13" s="8"/>
      <c r="U13" s="93">
        <f t="shared" si="0"/>
        <v>14856757009</v>
      </c>
      <c r="V13" s="8"/>
      <c r="W13" s="13"/>
      <c r="AD13" s="12"/>
      <c r="AF13" s="12"/>
      <c r="AH13" s="83"/>
    </row>
    <row r="14" spans="1:35" ht="30" customHeight="1">
      <c r="A14" s="37" t="s">
        <v>205</v>
      </c>
      <c r="B14" s="8"/>
      <c r="C14" s="12">
        <v>0</v>
      </c>
      <c r="D14" s="8"/>
      <c r="E14" s="94">
        <v>0</v>
      </c>
      <c r="F14" s="8"/>
      <c r="G14" s="98">
        <f>VLOOKUP(A14,'درآمد ناشی از فروش'!$A$7:$Q$47,9,0)</f>
        <v>0</v>
      </c>
      <c r="H14" s="8"/>
      <c r="I14" s="93">
        <f t="shared" si="1"/>
        <v>0</v>
      </c>
      <c r="J14" s="8"/>
      <c r="K14" s="13"/>
      <c r="L14" s="8"/>
      <c r="M14" s="12">
        <v>0</v>
      </c>
      <c r="N14" s="8"/>
      <c r="O14" s="169">
        <v>0</v>
      </c>
      <c r="P14" s="169"/>
      <c r="Q14" s="169"/>
      <c r="R14" s="8"/>
      <c r="S14" s="98">
        <f>VLOOKUP('درآمد سرمایه گذاری در سهام'!A14,'درآمد ناشی از فروش'!$A$7:$Q$48,17,0)</f>
        <v>28789960</v>
      </c>
      <c r="T14" s="8"/>
      <c r="U14" s="93">
        <f t="shared" si="0"/>
        <v>28789960</v>
      </c>
      <c r="V14" s="8"/>
      <c r="W14" s="13"/>
      <c r="AD14" s="12"/>
      <c r="AF14" s="12"/>
      <c r="AH14" s="83"/>
    </row>
    <row r="15" spans="1:35" ht="30" customHeight="1">
      <c r="A15" s="37" t="s">
        <v>195</v>
      </c>
      <c r="B15" s="8"/>
      <c r="C15" s="12">
        <v>0</v>
      </c>
      <c r="D15" s="8"/>
      <c r="E15" s="94">
        <f>VLOOKUP(A15,'درآمد ناشی از تغییر قیمت اوراق'!A:Q,9,0)</f>
        <v>13796422554</v>
      </c>
      <c r="F15" s="8"/>
      <c r="G15" s="98">
        <v>0</v>
      </c>
      <c r="H15" s="8"/>
      <c r="I15" s="98">
        <f>C15+E15+G15</f>
        <v>13796422554</v>
      </c>
      <c r="J15" s="8"/>
      <c r="K15" s="13"/>
      <c r="L15" s="8"/>
      <c r="M15" s="12">
        <v>7153912000</v>
      </c>
      <c r="N15" s="8"/>
      <c r="O15" s="169">
        <f>VLOOKUP(A15,'درآمد ناشی از تغییر قیمت اوراق'!$A$7:$Q$40,17,0)</f>
        <v>22572627417</v>
      </c>
      <c r="P15" s="169"/>
      <c r="Q15" s="169"/>
      <c r="R15" s="8"/>
      <c r="S15" s="98">
        <f>VLOOKUP('درآمد سرمایه گذاری در سهام'!A15,'درآمد ناشی از فروش'!$A$7:$Q$48,17,0)</f>
        <v>-1976872818</v>
      </c>
      <c r="T15" s="8"/>
      <c r="U15" s="93">
        <f t="shared" si="0"/>
        <v>27749666599</v>
      </c>
      <c r="V15" s="8"/>
      <c r="W15" s="13"/>
      <c r="Y15" s="37"/>
      <c r="AD15" s="12"/>
      <c r="AF15" s="12"/>
      <c r="AH15" s="83"/>
    </row>
    <row r="16" spans="1:35" ht="30" customHeight="1">
      <c r="A16" s="37" t="s">
        <v>45</v>
      </c>
      <c r="B16" s="8"/>
      <c r="C16" s="12">
        <v>0</v>
      </c>
      <c r="D16" s="8"/>
      <c r="E16" s="94">
        <v>0</v>
      </c>
      <c r="F16" s="8"/>
      <c r="G16" s="98">
        <v>0</v>
      </c>
      <c r="H16" s="8"/>
      <c r="I16" s="106">
        <f t="shared" si="1"/>
        <v>0</v>
      </c>
      <c r="J16" s="8"/>
      <c r="K16" s="13"/>
      <c r="L16" s="8"/>
      <c r="M16" s="12">
        <f>VLOOKUP(A16,'درآمد سود سهام'!$A$7:$S$28,19,0)</f>
        <v>78670950</v>
      </c>
      <c r="N16" s="8"/>
      <c r="O16" s="169">
        <v>0</v>
      </c>
      <c r="P16" s="169"/>
      <c r="Q16" s="169"/>
      <c r="R16" s="8"/>
      <c r="S16" s="98">
        <f>VLOOKUP('درآمد سرمایه گذاری در سهام'!A16,'درآمد ناشی از فروش'!$A$7:$Q$48,17,0)</f>
        <v>-1070857761</v>
      </c>
      <c r="T16" s="8"/>
      <c r="U16" s="93">
        <f t="shared" si="0"/>
        <v>-992186811</v>
      </c>
      <c r="V16" s="8"/>
      <c r="W16" s="13"/>
      <c r="Y16" s="37"/>
      <c r="AD16" s="12"/>
      <c r="AF16" s="12"/>
      <c r="AH16" s="83"/>
    </row>
    <row r="17" spans="1:37" ht="30" customHeight="1">
      <c r="A17" s="37" t="s">
        <v>42</v>
      </c>
      <c r="B17" s="8"/>
      <c r="C17" s="12">
        <v>0</v>
      </c>
      <c r="D17" s="8"/>
      <c r="E17" s="94">
        <v>0</v>
      </c>
      <c r="F17" s="8"/>
      <c r="G17" s="98">
        <v>0</v>
      </c>
      <c r="H17" s="8"/>
      <c r="I17" s="106">
        <f t="shared" si="1"/>
        <v>0</v>
      </c>
      <c r="J17" s="8"/>
      <c r="K17" s="13"/>
      <c r="L17" s="8"/>
      <c r="M17" s="12">
        <f>VLOOKUP(A17,'درآمد سود سهام'!$A$7:$S$28,19,0)</f>
        <v>3040000000</v>
      </c>
      <c r="N17" s="8"/>
      <c r="O17" s="169">
        <v>0</v>
      </c>
      <c r="P17" s="169"/>
      <c r="Q17" s="169"/>
      <c r="R17" s="8"/>
      <c r="S17" s="98">
        <f>VLOOKUP('درآمد سرمایه گذاری در سهام'!A17,'درآمد ناشی از فروش'!$A$7:$Q$48,17,0)</f>
        <v>1997776489</v>
      </c>
      <c r="T17" s="8"/>
      <c r="U17" s="93">
        <f t="shared" si="0"/>
        <v>5037776489</v>
      </c>
      <c r="V17" s="8"/>
      <c r="W17" s="13"/>
      <c r="Y17" s="37"/>
      <c r="AD17" s="12"/>
      <c r="AF17" s="12"/>
      <c r="AH17" s="83"/>
    </row>
    <row r="18" spans="1:37" ht="30" customHeight="1">
      <c r="A18" s="37" t="s">
        <v>211</v>
      </c>
      <c r="B18" s="8"/>
      <c r="C18" s="12">
        <v>0</v>
      </c>
      <c r="D18" s="8"/>
      <c r="E18" s="94">
        <v>0</v>
      </c>
      <c r="F18" s="8"/>
      <c r="G18" s="98">
        <v>0</v>
      </c>
      <c r="H18" s="8"/>
      <c r="I18" s="106">
        <f t="shared" si="1"/>
        <v>0</v>
      </c>
      <c r="J18" s="8"/>
      <c r="K18" s="13"/>
      <c r="L18" s="8"/>
      <c r="M18" s="12">
        <v>0</v>
      </c>
      <c r="N18" s="8"/>
      <c r="O18" s="169">
        <v>0</v>
      </c>
      <c r="P18" s="169"/>
      <c r="Q18" s="169"/>
      <c r="R18" s="8"/>
      <c r="S18" s="98">
        <f>VLOOKUP('درآمد سرمایه گذاری در سهام'!A18,'درآمد ناشی از فروش'!$A$7:$Q$48,17,0)</f>
        <v>2137863332</v>
      </c>
      <c r="T18" s="8"/>
      <c r="U18" s="93">
        <f t="shared" si="0"/>
        <v>2137863332</v>
      </c>
      <c r="V18" s="8"/>
      <c r="W18" s="13"/>
      <c r="Y18" s="37"/>
      <c r="AD18" s="12"/>
      <c r="AF18" s="12"/>
      <c r="AH18" s="83"/>
    </row>
    <row r="19" spans="1:37" ht="30" customHeight="1">
      <c r="A19" s="37" t="s">
        <v>37</v>
      </c>
      <c r="B19" s="8"/>
      <c r="C19" s="12">
        <v>0</v>
      </c>
      <c r="D19" s="8"/>
      <c r="E19" s="94">
        <v>0</v>
      </c>
      <c r="F19" s="8"/>
      <c r="G19" s="98">
        <f>VLOOKUP(A19,'درآمد ناشی از فروش'!$A$7:$Q$47,9,0)</f>
        <v>0</v>
      </c>
      <c r="H19" s="8"/>
      <c r="I19" s="106">
        <f t="shared" si="1"/>
        <v>0</v>
      </c>
      <c r="J19" s="8"/>
      <c r="K19" s="13"/>
      <c r="L19" s="8"/>
      <c r="M19" s="12">
        <v>0</v>
      </c>
      <c r="N19" s="8"/>
      <c r="O19" s="169">
        <v>0</v>
      </c>
      <c r="P19" s="169"/>
      <c r="Q19" s="169"/>
      <c r="R19" s="8"/>
      <c r="S19" s="98">
        <f>VLOOKUP('درآمد سرمایه گذاری در سهام'!A19,'درآمد ناشی از فروش'!$A$7:$Q$48,17,0)</f>
        <v>493477638</v>
      </c>
      <c r="T19" s="8"/>
      <c r="U19" s="93">
        <f t="shared" si="0"/>
        <v>493477638</v>
      </c>
      <c r="V19" s="8"/>
      <c r="W19" s="13"/>
      <c r="Y19" s="37"/>
      <c r="AD19" s="12"/>
      <c r="AF19" s="12"/>
      <c r="AH19" s="83"/>
    </row>
    <row r="20" spans="1:37" ht="30" customHeight="1">
      <c r="A20" s="37" t="s">
        <v>33</v>
      </c>
      <c r="B20" s="8"/>
      <c r="C20" s="12">
        <v>0</v>
      </c>
      <c r="D20" s="8"/>
      <c r="E20" s="94">
        <f>VLOOKUP(A20,'درآمد ناشی از تغییر قیمت اوراق'!A:Q,9,0)</f>
        <v>16378942279</v>
      </c>
      <c r="F20" s="8"/>
      <c r="G20" s="98">
        <f>VLOOKUP(A20,'درآمد ناشی از فروش'!$A$7:$Q$47,9,0)</f>
        <v>0</v>
      </c>
      <c r="H20" s="8"/>
      <c r="I20" s="98">
        <f>C20+E20+G20</f>
        <v>16378942279</v>
      </c>
      <c r="J20" s="8"/>
      <c r="K20" s="13"/>
      <c r="L20" s="8"/>
      <c r="M20" s="12">
        <f>VLOOKUP(A20,'درآمد سود سهام'!$A$7:$S$28,19,0)</f>
        <v>1572260500</v>
      </c>
      <c r="N20" s="8"/>
      <c r="O20" s="169">
        <f>VLOOKUP(A20,'درآمد ناشی از تغییر قیمت اوراق'!$A$7:$Q$40,17,0)</f>
        <v>40717149310</v>
      </c>
      <c r="P20" s="169"/>
      <c r="Q20" s="169"/>
      <c r="R20" s="8"/>
      <c r="S20" s="98">
        <f>VLOOKUP('درآمد سرمایه گذاری در سهام'!A20,'درآمد ناشی از فروش'!$A$7:$Q$48,17,0)</f>
        <v>4636173382</v>
      </c>
      <c r="T20" s="8"/>
      <c r="U20" s="93">
        <f t="shared" si="0"/>
        <v>46925583192</v>
      </c>
      <c r="V20" s="8"/>
      <c r="W20" s="13"/>
      <c r="AD20" s="12"/>
      <c r="AF20" s="12"/>
      <c r="AH20" s="83"/>
    </row>
    <row r="21" spans="1:37" ht="30" customHeight="1">
      <c r="A21" s="37" t="s">
        <v>19</v>
      </c>
      <c r="B21" s="8"/>
      <c r="C21" s="12">
        <v>0</v>
      </c>
      <c r="D21" s="8"/>
      <c r="E21" s="94">
        <f>VLOOKUP(A21,'درآمد ناشی از تغییر قیمت اوراق'!A:Q,9,0)</f>
        <v>1568265311</v>
      </c>
      <c r="F21" s="8"/>
      <c r="G21" s="98">
        <f>VLOOKUP(A21,'درآمد ناشی از فروش'!$A$7:$Q$47,9,0)</f>
        <v>1981280701</v>
      </c>
      <c r="H21" s="8"/>
      <c r="I21" s="93">
        <f>C21+E21+G21</f>
        <v>3549546012</v>
      </c>
      <c r="J21" s="8"/>
      <c r="K21" s="13"/>
      <c r="L21" s="8"/>
      <c r="M21" s="12">
        <f>VLOOKUP(A21,'درآمد سود سهام'!$A$7:$S$28,19,0)</f>
        <v>3569177560</v>
      </c>
      <c r="N21" s="8"/>
      <c r="O21" s="169">
        <f>VLOOKUP(A21,'درآمد ناشی از تغییر قیمت اوراق'!$A$7:$Q$40,17,0)</f>
        <v>14846219342</v>
      </c>
      <c r="P21" s="169"/>
      <c r="Q21" s="169"/>
      <c r="R21" s="8"/>
      <c r="S21" s="98">
        <f>VLOOKUP('درآمد سرمایه گذاری در سهام'!A21,'درآمد ناشی از فروش'!$A$7:$Q$48,17,0)</f>
        <v>1972023967</v>
      </c>
      <c r="T21" s="8"/>
      <c r="U21" s="93">
        <f t="shared" si="0"/>
        <v>20387420869</v>
      </c>
      <c r="V21" s="8"/>
      <c r="W21" s="13"/>
      <c r="AD21" s="12"/>
      <c r="AF21" s="12"/>
      <c r="AH21" s="83"/>
    </row>
    <row r="22" spans="1:37" ht="30" customHeight="1">
      <c r="A22" s="37" t="s">
        <v>34</v>
      </c>
      <c r="B22" s="8"/>
      <c r="C22" s="12">
        <v>0</v>
      </c>
      <c r="D22" s="8"/>
      <c r="E22" s="94">
        <f>VLOOKUP(A22,'درآمد ناشی از تغییر قیمت اوراق'!A:Q,9,0)</f>
        <v>24694899079</v>
      </c>
      <c r="F22" s="8"/>
      <c r="G22" s="98">
        <f>VLOOKUP(A22,'درآمد ناشی از فروش'!$A$7:$Q$47,9,0)</f>
        <v>0</v>
      </c>
      <c r="H22" s="8"/>
      <c r="I22" s="93">
        <f t="shared" si="1"/>
        <v>24694899079</v>
      </c>
      <c r="J22" s="8"/>
      <c r="K22" s="13"/>
      <c r="L22" s="8"/>
      <c r="M22" s="12">
        <v>0</v>
      </c>
      <c r="N22" s="8"/>
      <c r="O22" s="169">
        <f>VLOOKUP(A22,'درآمد ناشی از تغییر قیمت اوراق'!$A$7:$Q$40,17,0)</f>
        <v>70261061382</v>
      </c>
      <c r="P22" s="169"/>
      <c r="Q22" s="169"/>
      <c r="R22" s="8"/>
      <c r="S22" s="98">
        <f>VLOOKUP('درآمد سرمایه گذاری در سهام'!A22,'درآمد ناشی از فروش'!$A$7:$Q$48,17,0)</f>
        <v>-427805874</v>
      </c>
      <c r="T22" s="8"/>
      <c r="U22" s="93">
        <f t="shared" si="0"/>
        <v>69833255508</v>
      </c>
      <c r="V22" s="8"/>
      <c r="W22" s="13"/>
      <c r="AD22" s="12"/>
      <c r="AF22" s="12"/>
      <c r="AH22" s="83"/>
    </row>
    <row r="23" spans="1:37" ht="30" customHeight="1">
      <c r="A23" s="37" t="s">
        <v>21</v>
      </c>
      <c r="B23" s="8"/>
      <c r="C23" s="12">
        <v>0</v>
      </c>
      <c r="D23" s="8"/>
      <c r="E23" s="94">
        <f>VLOOKUP(A23,'درآمد ناشی از تغییر قیمت اوراق'!A:Q,9,0)</f>
        <v>172925818</v>
      </c>
      <c r="F23" s="8"/>
      <c r="G23" s="98">
        <f>VLOOKUP(A23,'درآمد ناشی از فروش'!$A$7:$Q$47,9,0)</f>
        <v>0</v>
      </c>
      <c r="H23" s="8"/>
      <c r="I23" s="93">
        <f t="shared" si="1"/>
        <v>172925818</v>
      </c>
      <c r="J23" s="8"/>
      <c r="K23" s="13"/>
      <c r="L23" s="8"/>
      <c r="M23" s="12">
        <v>0</v>
      </c>
      <c r="N23" s="8"/>
      <c r="O23" s="169">
        <f>VLOOKUP(A23,'درآمد ناشی از تغییر قیمت اوراق'!$A$7:$Q$40,17,0)</f>
        <v>1130487591</v>
      </c>
      <c r="P23" s="169"/>
      <c r="Q23" s="169"/>
      <c r="R23" s="8"/>
      <c r="S23" s="98">
        <f>VLOOKUP('درآمد سرمایه گذاری در سهام'!A23,'درآمد ناشی از فروش'!$A$7:$Q$48,17,0)</f>
        <v>-6866484793</v>
      </c>
      <c r="T23" s="8"/>
      <c r="U23" s="93">
        <f t="shared" si="0"/>
        <v>-5735997202</v>
      </c>
      <c r="V23" s="8"/>
      <c r="W23" s="13"/>
      <c r="AD23" s="12"/>
      <c r="AF23" s="12"/>
      <c r="AH23" s="83"/>
    </row>
    <row r="24" spans="1:37" ht="30" customHeight="1">
      <c r="A24" s="37" t="s">
        <v>41</v>
      </c>
      <c r="B24" s="8"/>
      <c r="C24" s="12">
        <v>0</v>
      </c>
      <c r="D24" s="8"/>
      <c r="E24" s="94">
        <v>4503145457</v>
      </c>
      <c r="F24" s="107"/>
      <c r="G24" s="98">
        <f>VLOOKUP(A24,'درآمد ناشی از فروش'!$A$7:$Q$47,9,0)</f>
        <v>765462128</v>
      </c>
      <c r="H24" s="8"/>
      <c r="I24" s="98">
        <f t="shared" si="1"/>
        <v>5268607585</v>
      </c>
      <c r="J24" s="8"/>
      <c r="K24" s="13"/>
      <c r="L24" s="8"/>
      <c r="M24" s="12">
        <f>VLOOKUP(A24,'درآمد سود سهام'!$A$7:$S$28,19,0)</f>
        <v>19700000</v>
      </c>
      <c r="N24" s="8"/>
      <c r="O24" s="169">
        <v>4025920527</v>
      </c>
      <c r="P24" s="169"/>
      <c r="Q24" s="169"/>
      <c r="R24" s="8"/>
      <c r="S24" s="98">
        <f>VLOOKUP('درآمد سرمایه گذاری در سهام'!A24,'درآمد ناشی از فروش'!$A$7:$Q$48,17,0)</f>
        <v>-412842400</v>
      </c>
      <c r="T24" s="8"/>
      <c r="U24" s="93">
        <f t="shared" si="0"/>
        <v>3632778127</v>
      </c>
      <c r="V24" s="8"/>
      <c r="W24" s="13"/>
      <c r="AD24" s="12"/>
      <c r="AF24" s="12"/>
      <c r="AH24" s="83"/>
    </row>
    <row r="25" spans="1:37" ht="30" customHeight="1">
      <c r="A25" s="37" t="s">
        <v>27</v>
      </c>
      <c r="B25" s="8"/>
      <c r="C25" s="12">
        <v>0</v>
      </c>
      <c r="D25" s="8"/>
      <c r="E25" s="93">
        <v>-2660369225</v>
      </c>
      <c r="F25" s="8"/>
      <c r="G25" s="98">
        <f>VLOOKUP(A25,'درآمد ناشی از فروش'!$A$7:$Q$47,9,0)</f>
        <v>5788403871</v>
      </c>
      <c r="H25" s="8"/>
      <c r="I25" s="93">
        <f t="shared" si="1"/>
        <v>3128034646</v>
      </c>
      <c r="J25" s="8"/>
      <c r="K25" s="13"/>
      <c r="L25" s="8"/>
      <c r="M25" s="12">
        <v>0</v>
      </c>
      <c r="N25" s="8"/>
      <c r="O25" s="169">
        <v>3633814156</v>
      </c>
      <c r="P25" s="169"/>
      <c r="Q25" s="169"/>
      <c r="R25" s="8"/>
      <c r="S25" s="98">
        <f>VLOOKUP('درآمد سرمایه گذاری در سهام'!A25,'درآمد ناشی از فروش'!$A$7:$Q$48,17,0)</f>
        <v>7251324987</v>
      </c>
      <c r="T25" s="8"/>
      <c r="U25" s="93">
        <f t="shared" si="0"/>
        <v>10885139143</v>
      </c>
      <c r="V25" s="8"/>
      <c r="W25" s="13"/>
      <c r="AD25" s="12"/>
      <c r="AF25" s="12"/>
      <c r="AH25" s="83"/>
      <c r="AJ25" s="169"/>
      <c r="AK25" s="169"/>
    </row>
    <row r="26" spans="1:37" ht="30" customHeight="1">
      <c r="A26" s="37" t="s">
        <v>206</v>
      </c>
      <c r="B26" s="8"/>
      <c r="C26" s="12">
        <v>0</v>
      </c>
      <c r="D26" s="8"/>
      <c r="E26" s="94">
        <v>0</v>
      </c>
      <c r="F26" s="8"/>
      <c r="G26" s="98">
        <f>VLOOKUP(A26,'درآمد ناشی از فروش'!$A$7:$Q$47,9,0)</f>
        <v>0</v>
      </c>
      <c r="H26" s="8"/>
      <c r="I26" s="106">
        <f t="shared" si="1"/>
        <v>0</v>
      </c>
      <c r="J26" s="8"/>
      <c r="K26" s="13"/>
      <c r="L26" s="8"/>
      <c r="M26" s="12">
        <v>0</v>
      </c>
      <c r="N26" s="8"/>
      <c r="O26" s="169">
        <v>0</v>
      </c>
      <c r="P26" s="169"/>
      <c r="Q26" s="169"/>
      <c r="R26" s="8"/>
      <c r="S26" s="98">
        <f>VLOOKUP('درآمد سرمایه گذاری در سهام'!A26,'درآمد ناشی از فروش'!$A$7:$Q$48,17,0)</f>
        <v>-18364754667</v>
      </c>
      <c r="T26" s="8"/>
      <c r="U26" s="93">
        <f t="shared" si="0"/>
        <v>-18364754667</v>
      </c>
      <c r="V26" s="8"/>
      <c r="W26" s="13"/>
      <c r="AD26" s="12"/>
      <c r="AF26" s="12"/>
      <c r="AH26" s="83"/>
    </row>
    <row r="27" spans="1:37" ht="30" customHeight="1">
      <c r="A27" s="37" t="s">
        <v>36</v>
      </c>
      <c r="B27" s="8"/>
      <c r="C27" s="12">
        <v>0</v>
      </c>
      <c r="D27" s="8"/>
      <c r="E27" s="94">
        <f>VLOOKUP(A27,'درآمد ناشی از تغییر قیمت اوراق'!A:Q,9,0)</f>
        <v>1145617800</v>
      </c>
      <c r="F27" s="8"/>
      <c r="G27" s="98">
        <v>0</v>
      </c>
      <c r="H27" s="8"/>
      <c r="I27" s="93">
        <f t="shared" si="1"/>
        <v>1145617800</v>
      </c>
      <c r="J27" s="8"/>
      <c r="K27" s="13"/>
      <c r="L27" s="8"/>
      <c r="M27" s="12">
        <f>VLOOKUP(A27,'درآمد سود سهام'!$A$7:$S$28,19,0)</f>
        <v>348000000</v>
      </c>
      <c r="N27" s="8"/>
      <c r="O27" s="169">
        <f>VLOOKUP(A27,'درآمد ناشی از تغییر قیمت اوراق'!$A$7:$Q$40,17,0)</f>
        <v>1145617800</v>
      </c>
      <c r="P27" s="169"/>
      <c r="Q27" s="169"/>
      <c r="R27" s="8"/>
      <c r="S27" s="98">
        <f>VLOOKUP('درآمد سرمایه گذاری در سهام'!A27,'درآمد ناشی از فروش'!$A$7:$Q$48,17,0)</f>
        <v>-1522730661</v>
      </c>
      <c r="T27" s="8"/>
      <c r="U27" s="93">
        <f t="shared" si="0"/>
        <v>-29112861</v>
      </c>
      <c r="V27" s="8"/>
      <c r="W27" s="13"/>
      <c r="Y27" s="37"/>
      <c r="AD27" s="12"/>
      <c r="AF27" s="12"/>
      <c r="AH27" s="83"/>
    </row>
    <row r="28" spans="1:37" ht="30" customHeight="1">
      <c r="A28" s="37" t="s">
        <v>212</v>
      </c>
      <c r="B28" s="8"/>
      <c r="C28" s="12">
        <v>0</v>
      </c>
      <c r="D28" s="8"/>
      <c r="E28" s="94">
        <f>VLOOKUP(A28,'درآمد ناشی از تغییر قیمت اوراق'!A:Q,9,0)</f>
        <v>29520810336</v>
      </c>
      <c r="F28" s="8"/>
      <c r="G28" s="98">
        <f>VLOOKUP(A28,'درآمد ناشی از فروش'!$A$7:$Q$47,9,0)</f>
        <v>0</v>
      </c>
      <c r="H28" s="8"/>
      <c r="I28" s="93">
        <f>E28+G28+C28</f>
        <v>29520810336</v>
      </c>
      <c r="J28" s="8"/>
      <c r="K28" s="13"/>
      <c r="L28" s="8"/>
      <c r="M28" s="12">
        <v>0</v>
      </c>
      <c r="N28" s="8"/>
      <c r="O28" s="169">
        <f>VLOOKUP(A28,'درآمد ناشی از تغییر قیمت اوراق'!$A$7:$Q$40,17,0)</f>
        <v>65270571640</v>
      </c>
      <c r="P28" s="169"/>
      <c r="Q28" s="169"/>
      <c r="R28" s="8"/>
      <c r="S28" s="98">
        <f>VLOOKUP('درآمد سرمایه گذاری در سهام'!A28,'درآمد ناشی از فروش'!$A$7:$Q$48,17,0)</f>
        <v>-12292540963</v>
      </c>
      <c r="T28" s="8"/>
      <c r="U28" s="93">
        <f t="shared" si="0"/>
        <v>52978030677</v>
      </c>
      <c r="V28" s="8"/>
      <c r="W28" s="13"/>
      <c r="Y28" s="37"/>
      <c r="AD28" s="12"/>
      <c r="AF28" s="12"/>
      <c r="AH28" s="83"/>
    </row>
    <row r="29" spans="1:37" ht="30" customHeight="1">
      <c r="A29" s="37" t="s">
        <v>213</v>
      </c>
      <c r="B29" s="8"/>
      <c r="C29" s="12">
        <v>0</v>
      </c>
      <c r="D29" s="8"/>
      <c r="E29" s="94">
        <f>VLOOKUP(A29,'درآمد ناشی از تغییر قیمت اوراق'!A:Q,9,0)</f>
        <v>5399959804</v>
      </c>
      <c r="F29" s="8"/>
      <c r="G29" s="98">
        <v>0</v>
      </c>
      <c r="H29" s="8"/>
      <c r="I29" s="93">
        <f t="shared" si="1"/>
        <v>5399959804</v>
      </c>
      <c r="J29" s="8"/>
      <c r="K29" s="13"/>
      <c r="L29" s="8"/>
      <c r="M29" s="12">
        <v>0</v>
      </c>
      <c r="N29" s="8"/>
      <c r="O29" s="169">
        <f>VLOOKUP(A29,'درآمد ناشی از تغییر قیمت اوراق'!$A$7:$Q$40,17,0)</f>
        <v>7315222365</v>
      </c>
      <c r="P29" s="169"/>
      <c r="Q29" s="169"/>
      <c r="R29" s="8"/>
      <c r="S29" s="98">
        <f>VLOOKUP('درآمد سرمایه گذاری در سهام'!A29,'درآمد ناشی از فروش'!$A$7:$Q$48,17,0)</f>
        <v>-86481305</v>
      </c>
      <c r="T29" s="8"/>
      <c r="U29" s="93">
        <f t="shared" si="0"/>
        <v>7228741060</v>
      </c>
      <c r="V29" s="8"/>
      <c r="W29" s="13"/>
      <c r="AD29" s="12"/>
      <c r="AF29" s="12"/>
      <c r="AH29" s="83"/>
    </row>
    <row r="30" spans="1:37" ht="30" customHeight="1">
      <c r="A30" s="37" t="s">
        <v>214</v>
      </c>
      <c r="B30" s="8"/>
      <c r="C30" s="12">
        <v>0</v>
      </c>
      <c r="D30" s="8"/>
      <c r="E30" s="94">
        <v>0</v>
      </c>
      <c r="F30" s="8"/>
      <c r="G30" s="98">
        <v>0</v>
      </c>
      <c r="H30" s="8"/>
      <c r="I30" s="93">
        <v>0</v>
      </c>
      <c r="J30" s="8"/>
      <c r="K30" s="13"/>
      <c r="L30" s="8"/>
      <c r="M30" s="12">
        <v>0</v>
      </c>
      <c r="N30" s="8"/>
      <c r="O30" s="169">
        <v>0</v>
      </c>
      <c r="P30" s="169"/>
      <c r="Q30" s="169"/>
      <c r="R30" s="8"/>
      <c r="S30" s="98">
        <f>VLOOKUP('درآمد سرمایه گذاری در سهام'!A30,'درآمد ناشی از فروش'!$A$7:$Q$48,17,0)</f>
        <v>-1150667688</v>
      </c>
      <c r="T30" s="8"/>
      <c r="U30" s="93">
        <f t="shared" si="0"/>
        <v>-1150667688</v>
      </c>
      <c r="V30" s="8"/>
      <c r="W30" s="13"/>
      <c r="Y30" s="37"/>
      <c r="AD30" s="12"/>
      <c r="AF30" s="12"/>
      <c r="AH30" s="83"/>
    </row>
    <row r="31" spans="1:37" ht="30" customHeight="1">
      <c r="A31" s="37" t="s">
        <v>113</v>
      </c>
      <c r="B31" s="8"/>
      <c r="C31" s="12">
        <v>0</v>
      </c>
      <c r="D31" s="8"/>
      <c r="E31" s="94">
        <v>0</v>
      </c>
      <c r="F31" s="8"/>
      <c r="G31" s="98">
        <f>VLOOKUP(A31,'درآمد ناشی از فروش'!$A$7:$Q$47,9,0)</f>
        <v>0</v>
      </c>
      <c r="H31" s="8"/>
      <c r="I31" s="93">
        <f t="shared" si="1"/>
        <v>0</v>
      </c>
      <c r="J31" s="8"/>
      <c r="K31" s="13"/>
      <c r="L31" s="8"/>
      <c r="M31" s="12">
        <v>0</v>
      </c>
      <c r="N31" s="8"/>
      <c r="O31" s="169">
        <v>0</v>
      </c>
      <c r="P31" s="169"/>
      <c r="Q31" s="169"/>
      <c r="R31" s="8"/>
      <c r="S31" s="98">
        <f>VLOOKUP('درآمد سرمایه گذاری در سهام'!A31,'درآمد ناشی از فروش'!$A$7:$Q$48,17,0)</f>
        <v>-182155</v>
      </c>
      <c r="T31" s="8"/>
      <c r="U31" s="93">
        <f t="shared" si="0"/>
        <v>-182155</v>
      </c>
      <c r="V31" s="8"/>
      <c r="W31" s="13"/>
      <c r="Y31" s="37"/>
      <c r="AD31" s="12"/>
      <c r="AF31" s="12"/>
      <c r="AH31" s="83"/>
    </row>
    <row r="32" spans="1:37" ht="30" customHeight="1">
      <c r="A32" s="37" t="s">
        <v>215</v>
      </c>
      <c r="B32" s="8"/>
      <c r="C32" s="12">
        <f>VLOOKUP(A32,'درآمد سود سهام'!A:S,13,0)</f>
        <v>0</v>
      </c>
      <c r="D32" s="8"/>
      <c r="E32" s="94">
        <f>VLOOKUP(A32,'درآمد ناشی از تغییر قیمت اوراق'!A:Q,9,0)</f>
        <v>193216301</v>
      </c>
      <c r="F32" s="8"/>
      <c r="G32" s="98">
        <v>0</v>
      </c>
      <c r="H32" s="8"/>
      <c r="I32" s="93">
        <f t="shared" si="1"/>
        <v>193216301</v>
      </c>
      <c r="J32" s="8"/>
      <c r="K32" s="13"/>
      <c r="L32" s="8"/>
      <c r="M32" s="12">
        <f>VLOOKUP(A32,'درآمد سود سهام'!$A$7:$S$28,19,0)</f>
        <v>119757567</v>
      </c>
      <c r="N32" s="8"/>
      <c r="O32" s="169">
        <f>VLOOKUP(A32,'درآمد ناشی از تغییر قیمت اوراق'!$A$7:$Q$40,17,0)</f>
        <v>70499025</v>
      </c>
      <c r="P32" s="169"/>
      <c r="Q32" s="169"/>
      <c r="R32" s="8"/>
      <c r="S32" s="98">
        <f>VLOOKUP('درآمد سرمایه گذاری در سهام'!A32,'درآمد ناشی از فروش'!$A$7:$Q$48,17,0)</f>
        <v>-66048511</v>
      </c>
      <c r="T32" s="8"/>
      <c r="U32" s="93">
        <f t="shared" si="0"/>
        <v>124208081</v>
      </c>
      <c r="V32" s="8"/>
      <c r="W32" s="13"/>
      <c r="AD32" s="12"/>
      <c r="AF32" s="12"/>
      <c r="AH32" s="83"/>
    </row>
    <row r="33" spans="1:35" ht="30" customHeight="1">
      <c r="A33" s="37" t="s">
        <v>31</v>
      </c>
      <c r="B33" s="8"/>
      <c r="C33" s="12">
        <v>0</v>
      </c>
      <c r="D33" s="8"/>
      <c r="E33" s="94">
        <f>VLOOKUP(A33,'درآمد ناشی از تغییر قیمت اوراق'!A:Q,9,0)</f>
        <v>39743110573</v>
      </c>
      <c r="F33" s="8"/>
      <c r="G33" s="98">
        <v>0</v>
      </c>
      <c r="H33" s="8"/>
      <c r="I33" s="93">
        <f>C33+E33+G33</f>
        <v>39743110573</v>
      </c>
      <c r="J33" s="8"/>
      <c r="K33" s="13"/>
      <c r="L33" s="8"/>
      <c r="M33" s="12">
        <f>VLOOKUP(A33,'درآمد سود سهام'!$A$7:$S$28,19,0)</f>
        <v>23925000000</v>
      </c>
      <c r="N33" s="8"/>
      <c r="O33" s="169">
        <f>VLOOKUP(A33,'درآمد ناشی از تغییر قیمت اوراق'!$A$7:$Q$40,17,0)</f>
        <v>97634759141</v>
      </c>
      <c r="P33" s="169"/>
      <c r="Q33" s="169"/>
      <c r="R33" s="8"/>
      <c r="S33" s="98">
        <f>VLOOKUP('درآمد سرمایه گذاری در سهام'!A33,'درآمد ناشی از فروش'!$A$7:$Q$48,17,0)</f>
        <v>317280962</v>
      </c>
      <c r="T33" s="8"/>
      <c r="U33" s="93">
        <f t="shared" si="0"/>
        <v>121877040103</v>
      </c>
      <c r="V33" s="8"/>
      <c r="W33" s="13"/>
      <c r="Y33" s="22"/>
      <c r="Z33" s="22"/>
      <c r="AA33" s="22"/>
      <c r="AB33" s="108"/>
      <c r="AC33" s="22"/>
      <c r="AD33" s="109"/>
      <c r="AE33" s="22"/>
      <c r="AF33" s="109"/>
      <c r="AG33" s="22"/>
      <c r="AH33" s="110"/>
      <c r="AI33" s="110"/>
    </row>
    <row r="34" spans="1:35" ht="30" customHeight="1">
      <c r="A34" s="37" t="s">
        <v>28</v>
      </c>
      <c r="B34" s="8"/>
      <c r="C34" s="12">
        <v>0</v>
      </c>
      <c r="D34" s="8"/>
      <c r="E34" s="94">
        <v>0</v>
      </c>
      <c r="F34" s="8"/>
      <c r="G34" s="98">
        <f>VLOOKUP(A34,'درآمد ناشی از فروش'!$A$7:$Q$47,9,0)</f>
        <v>0</v>
      </c>
      <c r="H34" s="8"/>
      <c r="I34" s="93">
        <f t="shared" ref="I34:I39" si="2">C34+E34+G34</f>
        <v>0</v>
      </c>
      <c r="J34" s="8"/>
      <c r="K34" s="13"/>
      <c r="L34" s="8"/>
      <c r="M34" s="12">
        <v>0</v>
      </c>
      <c r="N34" s="8"/>
      <c r="O34" s="169">
        <v>0</v>
      </c>
      <c r="P34" s="169"/>
      <c r="Q34" s="169"/>
      <c r="R34" s="8"/>
      <c r="S34" s="98">
        <f>VLOOKUP('درآمد سرمایه گذاری در سهام'!A34,'درآمد ناشی از فروش'!$A$7:$Q$48,17,0)</f>
        <v>605767129</v>
      </c>
      <c r="T34" s="8"/>
      <c r="U34" s="93">
        <f t="shared" si="0"/>
        <v>605767129</v>
      </c>
      <c r="V34" s="8"/>
      <c r="W34" s="13"/>
    </row>
    <row r="35" spans="1:35" ht="30" customHeight="1">
      <c r="A35" s="37" t="s">
        <v>200</v>
      </c>
      <c r="B35" s="8"/>
      <c r="C35" s="12">
        <v>0</v>
      </c>
      <c r="D35" s="8"/>
      <c r="E35" s="94">
        <f>VLOOKUP(A35,'درآمد ناشی از تغییر قیمت اوراق'!A:Q,9,0)</f>
        <v>9601514559</v>
      </c>
      <c r="F35" s="8"/>
      <c r="G35" s="98">
        <f>VLOOKUP(A35,'درآمد ناشی از فروش'!$A$7:$Q$47,9,0)</f>
        <v>0</v>
      </c>
      <c r="H35" s="8"/>
      <c r="I35" s="93">
        <f t="shared" si="2"/>
        <v>9601514559</v>
      </c>
      <c r="J35" s="8"/>
      <c r="K35" s="13"/>
      <c r="L35" s="8"/>
      <c r="M35" s="12">
        <v>0</v>
      </c>
      <c r="N35" s="8"/>
      <c r="O35" s="169">
        <f>VLOOKUP(A35,'درآمد ناشی از تغییر قیمت اوراق'!$A$7:$Q$40,17,0)</f>
        <v>18487497329</v>
      </c>
      <c r="P35" s="169"/>
      <c r="Q35" s="169"/>
      <c r="R35" s="8"/>
      <c r="S35" s="98">
        <f>VLOOKUP('درآمد سرمایه گذاری در سهام'!A35,'درآمد ناشی از فروش'!$A$7:$Q$48,17,0)</f>
        <v>-1667991013</v>
      </c>
      <c r="T35" s="8"/>
      <c r="U35" s="93">
        <f t="shared" si="0"/>
        <v>16819506316</v>
      </c>
      <c r="V35" s="8"/>
      <c r="W35" s="13"/>
    </row>
    <row r="36" spans="1:35" ht="30" customHeight="1">
      <c r="A36" s="37" t="s">
        <v>207</v>
      </c>
      <c r="B36" s="8"/>
      <c r="C36" s="12">
        <v>0</v>
      </c>
      <c r="D36" s="8"/>
      <c r="E36" s="94">
        <f>VLOOKUP(A36,'درآمد ناشی از تغییر قیمت اوراق'!A:Q,9,0)</f>
        <v>18126177445</v>
      </c>
      <c r="F36" s="8"/>
      <c r="G36" s="98">
        <f>VLOOKUP(A36,'درآمد ناشی از فروش'!$A$7:$Q$47,9,0)</f>
        <v>68030379</v>
      </c>
      <c r="H36" s="8"/>
      <c r="I36" s="93">
        <f>C36+E36+G36</f>
        <v>18194207824</v>
      </c>
      <c r="J36" s="8"/>
      <c r="K36" s="13"/>
      <c r="L36" s="8"/>
      <c r="M36" s="12">
        <f>VLOOKUP(A36,'درآمد سود سهام'!$A$7:$S$28,19,0)</f>
        <v>1468035113</v>
      </c>
      <c r="N36" s="8"/>
      <c r="O36" s="169">
        <f>VLOOKUP(A36,'درآمد ناشی از تغییر قیمت اوراق'!$A$7:$Q$40,17,0)</f>
        <v>26096854795</v>
      </c>
      <c r="P36" s="169"/>
      <c r="Q36" s="169"/>
      <c r="R36" s="8"/>
      <c r="S36" s="98">
        <f>VLOOKUP('درآمد سرمایه گذاری در سهام'!A36,'درآمد ناشی از فروش'!$A$7:$Q$48,17,0)</f>
        <v>-575735135</v>
      </c>
      <c r="T36" s="8"/>
      <c r="U36" s="93">
        <f t="shared" si="0"/>
        <v>26989154773</v>
      </c>
      <c r="V36" s="8"/>
      <c r="W36" s="13"/>
    </row>
    <row r="37" spans="1:35" ht="30" customHeight="1">
      <c r="A37" s="37" t="s">
        <v>114</v>
      </c>
      <c r="B37" s="8"/>
      <c r="C37" s="12">
        <v>0</v>
      </c>
      <c r="D37" s="8"/>
      <c r="E37" s="94">
        <v>0</v>
      </c>
      <c r="F37" s="8"/>
      <c r="G37" s="98">
        <f>VLOOKUP(A37,'درآمد ناشی از فروش'!$A$7:$Q$47,9,0)</f>
        <v>0</v>
      </c>
      <c r="H37" s="8"/>
      <c r="I37" s="93">
        <f t="shared" si="2"/>
        <v>0</v>
      </c>
      <c r="J37" s="8"/>
      <c r="K37" s="13"/>
      <c r="L37" s="8"/>
      <c r="M37" s="12">
        <v>0</v>
      </c>
      <c r="N37" s="8"/>
      <c r="O37" s="169">
        <v>0</v>
      </c>
      <c r="P37" s="169"/>
      <c r="Q37" s="169"/>
      <c r="R37" s="8"/>
      <c r="S37" s="98">
        <f>VLOOKUP('درآمد سرمایه گذاری در سهام'!A37,'درآمد ناشی از فروش'!$A$7:$Q$48,17,0)</f>
        <v>451185132</v>
      </c>
      <c r="T37" s="8"/>
      <c r="U37" s="93">
        <f t="shared" si="0"/>
        <v>451185132</v>
      </c>
      <c r="V37" s="8"/>
      <c r="W37" s="13"/>
    </row>
    <row r="38" spans="1:35" ht="30" customHeight="1">
      <c r="A38" s="37" t="s">
        <v>229</v>
      </c>
      <c r="B38" s="8"/>
      <c r="C38" s="12">
        <v>0</v>
      </c>
      <c r="D38" s="8"/>
      <c r="E38" s="94">
        <f>VLOOKUP(A38,'درآمد ناشی از تغییر قیمت اوراق'!A:Q,9,0)</f>
        <v>6395370618</v>
      </c>
      <c r="F38" s="8"/>
      <c r="G38" s="98">
        <v>0</v>
      </c>
      <c r="H38" s="8"/>
      <c r="I38" s="93">
        <f t="shared" si="2"/>
        <v>6395370618</v>
      </c>
      <c r="J38" s="8"/>
      <c r="K38" s="13"/>
      <c r="L38" s="8"/>
      <c r="M38" s="12">
        <v>0</v>
      </c>
      <c r="N38" s="8"/>
      <c r="O38" s="169">
        <f>VLOOKUP(A38,'درآمد ناشی از تغییر قیمت اوراق'!$A$7:$Q$40,17,0)</f>
        <v>6395370618</v>
      </c>
      <c r="P38" s="169"/>
      <c r="Q38" s="169"/>
      <c r="R38" s="8"/>
      <c r="S38" s="98">
        <f>VLOOKUP('درآمد سرمایه گذاری در سهام'!A38,'درآمد ناشی از فروش'!$A$7:$Q$48,17,0)</f>
        <v>-9997069514</v>
      </c>
      <c r="T38" s="8"/>
      <c r="U38" s="93">
        <f t="shared" si="0"/>
        <v>-3601698896</v>
      </c>
      <c r="V38" s="8"/>
      <c r="W38" s="13"/>
    </row>
    <row r="39" spans="1:35" ht="30" customHeight="1">
      <c r="A39" s="37" t="s">
        <v>44</v>
      </c>
      <c r="B39" s="8"/>
      <c r="C39" s="12">
        <f>VLOOKUP(A39,'درآمد سود سهام'!A:S,13,0)</f>
        <v>0</v>
      </c>
      <c r="D39" s="8"/>
      <c r="E39" s="94">
        <v>0</v>
      </c>
      <c r="F39" s="8"/>
      <c r="G39" s="98">
        <f>VLOOKUP(A39,'درآمد ناشی از فروش'!$A$7:$Q$47,9,0)</f>
        <v>0</v>
      </c>
      <c r="H39" s="8"/>
      <c r="I39" s="93">
        <f t="shared" si="2"/>
        <v>0</v>
      </c>
      <c r="J39" s="8"/>
      <c r="K39" s="13"/>
      <c r="L39" s="8"/>
      <c r="M39" s="12">
        <f>VLOOKUP(A39,'درآمد سود سهام'!$A$7:$S$28,19,0)</f>
        <v>364500000</v>
      </c>
      <c r="N39" s="8"/>
      <c r="O39" s="169">
        <v>0</v>
      </c>
      <c r="P39" s="169"/>
      <c r="Q39" s="169"/>
      <c r="R39" s="8"/>
      <c r="S39" s="98">
        <f>VLOOKUP('درآمد سرمایه گذاری در سهام'!A39,'درآمد ناشی از فروش'!$A$7:$Q$48,17,0)</f>
        <v>-4726200801</v>
      </c>
      <c r="T39" s="8"/>
      <c r="U39" s="93">
        <f t="shared" si="0"/>
        <v>-4361700801</v>
      </c>
      <c r="V39" s="8"/>
      <c r="W39" s="13"/>
    </row>
    <row r="40" spans="1:35" ht="30" customHeight="1">
      <c r="A40" s="37" t="s">
        <v>216</v>
      </c>
      <c r="B40" s="8"/>
      <c r="C40" s="12">
        <f>VLOOKUP(A40,'درآمد سود سهام'!A:S,13,0)</f>
        <v>271060245</v>
      </c>
      <c r="D40" s="8"/>
      <c r="E40" s="94">
        <f>VLOOKUP(A40,'درآمد ناشی از تغییر قیمت اوراق'!A:Q,9,0)</f>
        <v>1549656242</v>
      </c>
      <c r="F40" s="8"/>
      <c r="G40" s="98">
        <f>VLOOKUP(A40,'درآمد ناشی از فروش'!$A$7:$Q$47,9,0)</f>
        <v>0</v>
      </c>
      <c r="H40" s="8"/>
      <c r="I40" s="93">
        <f t="shared" si="1"/>
        <v>1820716487</v>
      </c>
      <c r="J40" s="8"/>
      <c r="K40" s="13"/>
      <c r="L40" s="8"/>
      <c r="M40" s="12">
        <f>VLOOKUP(A40,'درآمد سود سهام'!$A$7:$S$28,19,0)</f>
        <v>227022344</v>
      </c>
      <c r="N40" s="8"/>
      <c r="O40" s="169">
        <f>VLOOKUP(A40,'درآمد ناشی از تغییر قیمت اوراق'!$A$7:$Q$40,17,0)</f>
        <v>2937643700</v>
      </c>
      <c r="P40" s="169"/>
      <c r="Q40" s="169"/>
      <c r="R40" s="8"/>
      <c r="S40" s="98">
        <f>VLOOKUP('درآمد سرمایه گذاری در سهام'!A40,'درآمد ناشی از فروش'!$A$7:$Q$48,17,0)</f>
        <v>-1133501198</v>
      </c>
      <c r="T40" s="8"/>
      <c r="U40" s="93">
        <f t="shared" si="0"/>
        <v>2031164846</v>
      </c>
      <c r="V40" s="8"/>
      <c r="W40" s="13"/>
    </row>
    <row r="41" spans="1:35" ht="30" customHeight="1">
      <c r="A41" s="37" t="s">
        <v>38</v>
      </c>
      <c r="B41" s="8"/>
      <c r="C41" s="12">
        <f>VLOOKUP(A41,'درآمد سود سهام'!A:S,13,0)</f>
        <v>0</v>
      </c>
      <c r="D41" s="8"/>
      <c r="E41" s="94">
        <v>0</v>
      </c>
      <c r="F41" s="8"/>
      <c r="G41" s="98">
        <f>VLOOKUP(A41,'درآمد ناشی از فروش'!$A$7:$Q$47,9,0)</f>
        <v>0</v>
      </c>
      <c r="H41" s="8"/>
      <c r="I41" s="98">
        <f t="shared" si="1"/>
        <v>0</v>
      </c>
      <c r="J41" s="8"/>
      <c r="K41" s="13"/>
      <c r="L41" s="8"/>
      <c r="M41" s="12">
        <f>VLOOKUP(A41,'درآمد سود سهام'!$A$7:$S$28,19,0)</f>
        <v>1865339000</v>
      </c>
      <c r="N41" s="8"/>
      <c r="O41" s="169">
        <v>0</v>
      </c>
      <c r="P41" s="169"/>
      <c r="Q41" s="169"/>
      <c r="R41" s="8"/>
      <c r="S41" s="98">
        <f>VLOOKUP('درآمد سرمایه گذاری در سهام'!A41,'درآمد ناشی از فروش'!$A$7:$Q$48,17,0)</f>
        <v>-7893343402</v>
      </c>
      <c r="T41" s="8"/>
      <c r="U41" s="93">
        <f t="shared" si="0"/>
        <v>-6028004402</v>
      </c>
      <c r="V41" s="8"/>
      <c r="W41" s="13"/>
    </row>
    <row r="42" spans="1:35" ht="30" customHeight="1">
      <c r="A42" s="37" t="s">
        <v>26</v>
      </c>
      <c r="B42" s="8"/>
      <c r="C42" s="12">
        <v>0</v>
      </c>
      <c r="D42" s="8"/>
      <c r="E42" s="94">
        <v>0</v>
      </c>
      <c r="F42" s="8"/>
      <c r="G42" s="98">
        <f>VLOOKUP(A42,'درآمد ناشی از فروش'!$A$7:$Q$47,9,0)</f>
        <v>16789782196</v>
      </c>
      <c r="H42" s="8"/>
      <c r="I42" s="93">
        <f t="shared" si="1"/>
        <v>16789782196</v>
      </c>
      <c r="J42" s="8"/>
      <c r="K42" s="13"/>
      <c r="L42" s="8"/>
      <c r="M42" s="12">
        <v>0</v>
      </c>
      <c r="N42" s="8"/>
      <c r="O42" s="169">
        <v>0</v>
      </c>
      <c r="P42" s="169"/>
      <c r="Q42" s="169"/>
      <c r="R42" s="8"/>
      <c r="S42" s="98">
        <f>VLOOKUP('درآمد سرمایه گذاری در سهام'!A42,'درآمد ناشی از فروش'!$A$7:$Q$48,17,0)</f>
        <v>16245638008</v>
      </c>
      <c r="T42" s="8"/>
      <c r="U42" s="93">
        <f t="shared" si="0"/>
        <v>16245638008</v>
      </c>
      <c r="V42" s="8"/>
      <c r="W42" s="13"/>
    </row>
    <row r="43" spans="1:35" ht="30" customHeight="1">
      <c r="A43" s="37" t="s">
        <v>217</v>
      </c>
      <c r="B43" s="8"/>
      <c r="C43" s="12">
        <v>0</v>
      </c>
      <c r="D43" s="8"/>
      <c r="E43" s="94">
        <f>VLOOKUP(A43,'درآمد ناشی از تغییر قیمت اوراق'!A:Q,9,0)</f>
        <v>22349743453</v>
      </c>
      <c r="F43" s="8"/>
      <c r="G43" s="98">
        <v>0</v>
      </c>
      <c r="H43" s="8"/>
      <c r="I43" s="93">
        <f t="shared" si="1"/>
        <v>22349743453</v>
      </c>
      <c r="J43" s="8"/>
      <c r="K43" s="13"/>
      <c r="L43" s="8"/>
      <c r="M43" s="12">
        <f>VLOOKUP(A43,'درآمد سود سهام'!$A$7:$S$28,19,0)</f>
        <v>13585568150</v>
      </c>
      <c r="N43" s="8"/>
      <c r="O43" s="169">
        <f>VLOOKUP(A43,'درآمد ناشی از تغییر قیمت اوراق'!$A$7:$Q$40,17,0)</f>
        <v>53620902884</v>
      </c>
      <c r="P43" s="169"/>
      <c r="Q43" s="169"/>
      <c r="R43" s="8"/>
      <c r="S43" s="98">
        <v>0</v>
      </c>
      <c r="T43" s="8"/>
      <c r="U43" s="93">
        <f t="shared" si="0"/>
        <v>67206471034</v>
      </c>
      <c r="V43" s="8"/>
      <c r="W43" s="13"/>
    </row>
    <row r="44" spans="1:35" ht="30" customHeight="1">
      <c r="A44" s="37" t="s">
        <v>218</v>
      </c>
      <c r="B44" s="8"/>
      <c r="C44" s="12">
        <v>0</v>
      </c>
      <c r="D44" s="8"/>
      <c r="E44" s="93">
        <f>VLOOKUP(A44,'درآمد ناشی از تغییر قیمت اوراق'!A:Q,9,0)</f>
        <v>-5611450331</v>
      </c>
      <c r="F44" s="8"/>
      <c r="G44" s="98">
        <v>0</v>
      </c>
      <c r="H44" s="8"/>
      <c r="I44" s="106">
        <f t="shared" si="1"/>
        <v>-5611450331</v>
      </c>
      <c r="J44" s="8"/>
      <c r="K44" s="13"/>
      <c r="L44" s="8"/>
      <c r="M44" s="12">
        <f>VLOOKUP(A44,'درآمد سود سهام'!$A$7:$S$28,19,0)</f>
        <v>11750844000</v>
      </c>
      <c r="N44" s="8"/>
      <c r="O44" s="169">
        <f>VLOOKUP(A44,'درآمد ناشی از تغییر قیمت اوراق'!$A$7:$Q$40,17,0)</f>
        <v>55557239781</v>
      </c>
      <c r="P44" s="169"/>
      <c r="Q44" s="169"/>
      <c r="R44" s="8"/>
      <c r="S44" s="98">
        <v>0</v>
      </c>
      <c r="T44" s="8"/>
      <c r="U44" s="93">
        <f t="shared" si="0"/>
        <v>67308083781</v>
      </c>
      <c r="V44" s="8"/>
      <c r="W44" s="13"/>
    </row>
    <row r="45" spans="1:35" ht="30" customHeight="1">
      <c r="A45" s="37" t="s">
        <v>17</v>
      </c>
      <c r="B45" s="8"/>
      <c r="C45" s="12">
        <v>0</v>
      </c>
      <c r="D45" s="8"/>
      <c r="E45" s="94">
        <f>VLOOKUP(A45,'درآمد ناشی از تغییر قیمت اوراق'!A:Q,9,0)</f>
        <v>14471876168</v>
      </c>
      <c r="F45" s="8"/>
      <c r="G45" s="98">
        <f>VLOOKUP(A45,'درآمد ناشی از فروش'!$A$7:$Q$47,9,0)</f>
        <v>4640867252</v>
      </c>
      <c r="H45" s="8"/>
      <c r="I45" s="93">
        <f t="shared" si="1"/>
        <v>19112743420</v>
      </c>
      <c r="J45" s="8"/>
      <c r="K45" s="13"/>
      <c r="L45" s="8"/>
      <c r="M45" s="12">
        <f>VLOOKUP(A45,'درآمد سود سهام'!$A$7:$S$28,19,0)</f>
        <v>5264990900</v>
      </c>
      <c r="N45" s="8"/>
      <c r="O45" s="169">
        <f>VLOOKUP(A45,'درآمد ناشی از تغییر قیمت اوراق'!$A$7:$Q$40,17,0)</f>
        <v>14402308902</v>
      </c>
      <c r="P45" s="169"/>
      <c r="Q45" s="169"/>
      <c r="R45" s="8"/>
      <c r="S45" s="98">
        <f>VLOOKUP('درآمد سرمایه گذاری در سهام'!A45,'درآمد ناشی از فروش'!$A$7:$Q$48,17,0)</f>
        <v>4640867252</v>
      </c>
      <c r="T45" s="8"/>
      <c r="U45" s="93">
        <f t="shared" si="0"/>
        <v>24308167054</v>
      </c>
      <c r="V45" s="8"/>
      <c r="W45" s="13"/>
    </row>
    <row r="46" spans="1:35" ht="30" customHeight="1">
      <c r="A46" s="37" t="s">
        <v>20</v>
      </c>
      <c r="B46" s="8"/>
      <c r="C46" s="12">
        <v>0</v>
      </c>
      <c r="D46" s="8"/>
      <c r="E46" s="94">
        <f>VLOOKUP(A46,'درآمد ناشی از تغییر قیمت اوراق'!A:Q,9,0)</f>
        <v>26099004956</v>
      </c>
      <c r="F46" s="8"/>
      <c r="G46" s="98">
        <f>VLOOKUP(A46,'درآمد ناشی از فروش'!$A$7:$Q$47,9,0)</f>
        <v>0</v>
      </c>
      <c r="H46" s="8"/>
      <c r="I46" s="93">
        <f t="shared" si="1"/>
        <v>26099004956</v>
      </c>
      <c r="J46" s="8"/>
      <c r="K46" s="13"/>
      <c r="L46" s="8"/>
      <c r="M46" s="12">
        <f>VLOOKUP(A46,'درآمد سود سهام'!$A$7:$S$28,19,0)</f>
        <v>7711965480</v>
      </c>
      <c r="N46" s="8"/>
      <c r="O46" s="169">
        <f>VLOOKUP(A46,'درآمد ناشی از تغییر قیمت اوراق'!$A$7:$Q$40,17,0)</f>
        <v>27925280357</v>
      </c>
      <c r="P46" s="169"/>
      <c r="Q46" s="169"/>
      <c r="R46" s="8"/>
      <c r="S46" s="98">
        <f>VLOOKUP('درآمد سرمایه گذاری در سهام'!A46,'درآمد ناشی از فروش'!$A$7:$Q$48,17,0)</f>
        <v>789708674</v>
      </c>
      <c r="T46" s="8"/>
      <c r="U46" s="93">
        <f t="shared" si="0"/>
        <v>36426954511</v>
      </c>
      <c r="V46" s="8"/>
      <c r="W46" s="13"/>
    </row>
    <row r="47" spans="1:35" ht="30" customHeight="1">
      <c r="A47" s="37" t="s">
        <v>16</v>
      </c>
      <c r="B47" s="8"/>
      <c r="C47" s="12">
        <v>0</v>
      </c>
      <c r="D47" s="8"/>
      <c r="E47" s="94">
        <f>VLOOKUP(A47,'درآمد ناشی از تغییر قیمت اوراق'!A:Q,9,0)</f>
        <v>2262376</v>
      </c>
      <c r="F47" s="8"/>
      <c r="G47" s="98">
        <v>0</v>
      </c>
      <c r="H47" s="8"/>
      <c r="I47" s="93">
        <f t="shared" si="1"/>
        <v>2262376</v>
      </c>
      <c r="J47" s="8"/>
      <c r="K47" s="13"/>
      <c r="L47" s="8"/>
      <c r="M47" s="12">
        <f>VLOOKUP(A47,'درآمد سود سهام'!$A$7:$S$28,19,0)</f>
        <v>525000</v>
      </c>
      <c r="N47" s="8"/>
      <c r="O47" s="169">
        <f>VLOOKUP(A47,'درآمد ناشی از تغییر قیمت اوراق'!$A$7:$Q$40,17,0)</f>
        <v>1725610</v>
      </c>
      <c r="P47" s="169"/>
      <c r="Q47" s="169"/>
      <c r="R47" s="8"/>
      <c r="S47" s="98">
        <v>0</v>
      </c>
      <c r="T47" s="8"/>
      <c r="U47" s="93">
        <f t="shared" si="0"/>
        <v>2250610</v>
      </c>
      <c r="V47" s="8"/>
      <c r="W47" s="13"/>
    </row>
    <row r="48" spans="1:35" ht="30" customHeight="1">
      <c r="A48" s="37" t="s">
        <v>196</v>
      </c>
      <c r="B48" s="8"/>
      <c r="C48" s="12">
        <v>0</v>
      </c>
      <c r="D48" s="8"/>
      <c r="E48" s="94">
        <v>0</v>
      </c>
      <c r="F48" s="8"/>
      <c r="G48" s="98">
        <f>VLOOKUP(A48,'درآمد ناشی از فروش'!$A$7:$Q$47,9,0)</f>
        <v>86592369</v>
      </c>
      <c r="H48" s="8"/>
      <c r="I48" s="93">
        <f t="shared" si="1"/>
        <v>86592369</v>
      </c>
      <c r="J48" s="8"/>
      <c r="K48" s="13"/>
      <c r="L48" s="8"/>
      <c r="M48" s="12">
        <v>0</v>
      </c>
      <c r="N48" s="8"/>
      <c r="O48" s="169">
        <v>0</v>
      </c>
      <c r="P48" s="169"/>
      <c r="Q48" s="169"/>
      <c r="R48" s="8"/>
      <c r="S48" s="98">
        <f>VLOOKUP('درآمد سرمایه گذاری در سهام'!A48,'درآمد ناشی از فروش'!$A$7:$Q$48,17,0)</f>
        <v>86592369</v>
      </c>
      <c r="T48" s="8"/>
      <c r="U48" s="93">
        <f t="shared" si="0"/>
        <v>86592369</v>
      </c>
      <c r="V48" s="8"/>
      <c r="W48" s="13"/>
    </row>
    <row r="49" spans="1:35" ht="30" customHeight="1">
      <c r="A49" s="37" t="s">
        <v>199</v>
      </c>
      <c r="B49" s="8"/>
      <c r="C49" s="12">
        <v>0</v>
      </c>
      <c r="D49" s="8"/>
      <c r="E49" s="94">
        <f>VLOOKUP(A49,'درآمد ناشی از تغییر قیمت اوراق'!A:Q,9,0)</f>
        <v>1286232344</v>
      </c>
      <c r="F49" s="8"/>
      <c r="G49" s="98">
        <v>0</v>
      </c>
      <c r="H49" s="8"/>
      <c r="I49" s="93">
        <f t="shared" si="1"/>
        <v>1286232344</v>
      </c>
      <c r="J49" s="8"/>
      <c r="K49" s="13"/>
      <c r="L49" s="8"/>
      <c r="M49" s="12">
        <v>0</v>
      </c>
      <c r="N49" s="8"/>
      <c r="O49" s="169">
        <f>VLOOKUP(A49,'درآمد ناشی از تغییر قیمت اوراق'!$A$7:$Q$40,17,0)</f>
        <v>1573785948</v>
      </c>
      <c r="P49" s="169"/>
      <c r="Q49" s="169"/>
      <c r="R49" s="8"/>
      <c r="S49" s="98">
        <v>0</v>
      </c>
      <c r="T49" s="8"/>
      <c r="U49" s="93">
        <f t="shared" si="0"/>
        <v>1573785948</v>
      </c>
      <c r="V49" s="8"/>
      <c r="W49" s="13"/>
    </row>
    <row r="50" spans="1:35" ht="30" customHeight="1">
      <c r="A50" s="37" t="s">
        <v>32</v>
      </c>
      <c r="B50" s="8"/>
      <c r="C50" s="12">
        <v>0</v>
      </c>
      <c r="D50" s="8"/>
      <c r="E50" s="94">
        <f>VLOOKUP(A50,'درآمد ناشی از تغییر قیمت اوراق'!A:Q,9,0)</f>
        <v>42908907916</v>
      </c>
      <c r="F50" s="8"/>
      <c r="G50" s="98">
        <v>0</v>
      </c>
      <c r="H50" s="8"/>
      <c r="I50" s="93">
        <f t="shared" si="1"/>
        <v>42908907916</v>
      </c>
      <c r="J50" s="8"/>
      <c r="K50" s="13"/>
      <c r="L50" s="8"/>
      <c r="M50" s="12">
        <v>0</v>
      </c>
      <c r="N50" s="8"/>
      <c r="O50" s="169">
        <f>VLOOKUP(A50,'درآمد ناشی از تغییر قیمت اوراق'!$A$7:$Q$40,17,0)</f>
        <v>80196049341</v>
      </c>
      <c r="P50" s="169"/>
      <c r="Q50" s="169"/>
      <c r="R50" s="8"/>
      <c r="S50" s="98">
        <v>0</v>
      </c>
      <c r="T50" s="8"/>
      <c r="U50" s="93">
        <f t="shared" si="0"/>
        <v>80196049341</v>
      </c>
      <c r="V50" s="8"/>
      <c r="W50" s="13"/>
    </row>
    <row r="51" spans="1:35" ht="30" customHeight="1">
      <c r="A51" s="37" t="s">
        <v>219</v>
      </c>
      <c r="B51" s="8"/>
      <c r="C51" s="12">
        <v>0</v>
      </c>
      <c r="D51" s="8"/>
      <c r="E51" s="94">
        <f>VLOOKUP(A51,'درآمد ناشی از تغییر قیمت اوراق'!A:Q,9,0)</f>
        <v>26867738322</v>
      </c>
      <c r="F51" s="8"/>
      <c r="G51" s="98">
        <v>0</v>
      </c>
      <c r="H51" s="8"/>
      <c r="I51" s="93">
        <f t="shared" si="1"/>
        <v>26867738322</v>
      </c>
      <c r="J51" s="8"/>
      <c r="K51" s="13"/>
      <c r="L51" s="8"/>
      <c r="M51" s="12">
        <v>0</v>
      </c>
      <c r="N51" s="8"/>
      <c r="O51" s="169">
        <f>VLOOKUP(A51,'درآمد ناشی از تغییر قیمت اوراق'!$A$7:$Q$40,17,0)</f>
        <v>21899186701</v>
      </c>
      <c r="P51" s="169"/>
      <c r="Q51" s="169"/>
      <c r="R51" s="8"/>
      <c r="S51" s="98">
        <v>0</v>
      </c>
      <c r="T51" s="8"/>
      <c r="U51" s="93">
        <f t="shared" si="0"/>
        <v>21899186701</v>
      </c>
      <c r="V51" s="8"/>
      <c r="W51" s="13"/>
    </row>
    <row r="52" spans="1:35" ht="30" customHeight="1">
      <c r="A52" s="37" t="s">
        <v>191</v>
      </c>
      <c r="B52" s="8"/>
      <c r="C52" s="12">
        <v>0</v>
      </c>
      <c r="D52" s="8"/>
      <c r="E52" s="94">
        <v>0</v>
      </c>
      <c r="F52" s="8"/>
      <c r="G52" s="98">
        <v>0</v>
      </c>
      <c r="H52" s="8"/>
      <c r="I52" s="93">
        <f t="shared" si="1"/>
        <v>0</v>
      </c>
      <c r="J52" s="8"/>
      <c r="K52" s="13"/>
      <c r="L52" s="8"/>
      <c r="M52" s="12">
        <v>0</v>
      </c>
      <c r="N52" s="8"/>
      <c r="O52" s="169">
        <v>0</v>
      </c>
      <c r="P52" s="169"/>
      <c r="Q52" s="169"/>
      <c r="R52" s="8"/>
      <c r="S52" s="98">
        <f>VLOOKUP('درآمد سرمایه گذاری در سهام'!A52,'درآمد ناشی از فروش'!$A$7:$Q$48,17,0)</f>
        <v>1745769746</v>
      </c>
      <c r="T52" s="8"/>
      <c r="U52" s="93">
        <f t="shared" si="0"/>
        <v>1745769746</v>
      </c>
      <c r="V52" s="8"/>
      <c r="W52" s="13"/>
    </row>
    <row r="53" spans="1:35" ht="30" customHeight="1">
      <c r="A53" s="37" t="s">
        <v>203</v>
      </c>
      <c r="B53" s="8"/>
      <c r="C53" s="12">
        <v>0</v>
      </c>
      <c r="D53" s="8"/>
      <c r="E53" s="93">
        <f>VLOOKUP(A53,'درآمد ناشی از تغییر قیمت اوراق'!A:Q,9,0)</f>
        <v>-3393563400</v>
      </c>
      <c r="F53" s="8"/>
      <c r="G53" s="98">
        <v>0</v>
      </c>
      <c r="H53" s="8"/>
      <c r="I53" s="93">
        <f t="shared" si="1"/>
        <v>-3393563400</v>
      </c>
      <c r="J53" s="8"/>
      <c r="K53" s="13"/>
      <c r="L53" s="8"/>
      <c r="M53" s="12">
        <v>0</v>
      </c>
      <c r="N53" s="8"/>
      <c r="O53" s="169">
        <f>VLOOKUP(A53,'درآمد ناشی از تغییر قیمت اوراق'!$A$7:$Q$40,17,0)</f>
        <v>1196289840</v>
      </c>
      <c r="P53" s="169"/>
      <c r="Q53" s="169"/>
      <c r="R53" s="8"/>
      <c r="S53" s="98">
        <v>0</v>
      </c>
      <c r="T53" s="8"/>
      <c r="U53" s="93">
        <f t="shared" si="0"/>
        <v>1196289840</v>
      </c>
      <c r="V53" s="8"/>
      <c r="W53" s="13"/>
    </row>
    <row r="54" spans="1:35" ht="30" customHeight="1">
      <c r="A54" s="37" t="s">
        <v>202</v>
      </c>
      <c r="B54" s="8"/>
      <c r="C54" s="12">
        <v>0</v>
      </c>
      <c r="D54" s="8"/>
      <c r="E54" s="94">
        <f>VLOOKUP(A54,'درآمد ناشی از تغییر قیمت اوراق'!A:Q,9,0)</f>
        <v>253227304</v>
      </c>
      <c r="F54" s="8"/>
      <c r="G54" s="98">
        <v>0</v>
      </c>
      <c r="H54" s="8"/>
      <c r="I54" s="93">
        <f t="shared" ref="I54:I59" si="3">C54+E54+G54</f>
        <v>253227304</v>
      </c>
      <c r="J54" s="8"/>
      <c r="K54" s="13"/>
      <c r="L54" s="8"/>
      <c r="M54" s="12">
        <v>0</v>
      </c>
      <c r="N54" s="8"/>
      <c r="O54" s="169">
        <f>VLOOKUP(A54,'درآمد ناشی از تغییر قیمت اوراق'!$A$7:$Q$40,17,0)</f>
        <v>623171374</v>
      </c>
      <c r="P54" s="169"/>
      <c r="Q54" s="169"/>
      <c r="R54" s="8"/>
      <c r="S54" s="98">
        <v>0</v>
      </c>
      <c r="T54" s="8"/>
      <c r="U54" s="93">
        <f t="shared" si="0"/>
        <v>623171374</v>
      </c>
      <c r="V54" s="8"/>
      <c r="W54" s="13"/>
    </row>
    <row r="55" spans="1:35" ht="30" customHeight="1">
      <c r="A55" s="37" t="s">
        <v>222</v>
      </c>
      <c r="B55" s="8"/>
      <c r="C55" s="12">
        <v>0</v>
      </c>
      <c r="D55" s="8"/>
      <c r="E55" s="94">
        <f>VLOOKUP(A55,'درآمد ناشی از تغییر قیمت اوراق'!A:Q,9,0)</f>
        <v>12737835535</v>
      </c>
      <c r="F55" s="8"/>
      <c r="G55" s="98">
        <f>VLOOKUP(A55,'درآمد ناشی از فروش'!$A$7:$Q$47,9,0)</f>
        <v>443535294</v>
      </c>
      <c r="H55" s="8"/>
      <c r="I55" s="93">
        <f t="shared" si="3"/>
        <v>13181370829</v>
      </c>
      <c r="J55" s="8"/>
      <c r="K55" s="13"/>
      <c r="L55" s="8"/>
      <c r="M55" s="12">
        <v>0</v>
      </c>
      <c r="N55" s="8"/>
      <c r="O55" s="169">
        <f>VLOOKUP(A55,'درآمد ناشی از تغییر قیمت اوراق'!$A$7:$Q$40,17,0)</f>
        <v>18135172728</v>
      </c>
      <c r="P55" s="169"/>
      <c r="Q55" s="169"/>
      <c r="R55" s="8"/>
      <c r="S55" s="98">
        <f>VLOOKUP('درآمد سرمایه گذاری در سهام'!A55,'درآمد ناشی از فروش'!$A$7:$Q$48,17,0)</f>
        <v>443535294</v>
      </c>
      <c r="T55" s="8"/>
      <c r="U55" s="93">
        <f t="shared" si="0"/>
        <v>18578708022</v>
      </c>
      <c r="V55" s="8"/>
      <c r="W55" s="13"/>
    </row>
    <row r="56" spans="1:35" ht="30" customHeight="1">
      <c r="A56" s="37" t="s">
        <v>223</v>
      </c>
      <c r="B56" s="8"/>
      <c r="C56" s="12">
        <v>0</v>
      </c>
      <c r="D56" s="8"/>
      <c r="E56" s="94">
        <f>VLOOKUP(A56,'درآمد ناشی از تغییر قیمت اوراق'!A:Q,9,0)</f>
        <v>6304513086</v>
      </c>
      <c r="F56" s="8"/>
      <c r="G56" s="98">
        <v>0</v>
      </c>
      <c r="H56" s="8"/>
      <c r="I56" s="93">
        <f t="shared" si="3"/>
        <v>6304513086</v>
      </c>
      <c r="J56" s="8"/>
      <c r="K56" s="13"/>
      <c r="L56" s="8"/>
      <c r="M56" s="12">
        <v>0</v>
      </c>
      <c r="N56" s="8"/>
      <c r="O56" s="169">
        <f>VLOOKUP(A56,'درآمد ناشی از تغییر قیمت اوراق'!$A$7:$Q$40,17,0)</f>
        <v>6141571764</v>
      </c>
      <c r="P56" s="169"/>
      <c r="Q56" s="169"/>
      <c r="R56" s="8"/>
      <c r="S56" s="98">
        <v>0</v>
      </c>
      <c r="T56" s="8"/>
      <c r="U56" s="93">
        <f t="shared" si="0"/>
        <v>6141571764</v>
      </c>
      <c r="V56" s="8"/>
      <c r="W56" s="13"/>
    </row>
    <row r="57" spans="1:35" ht="30" customHeight="1">
      <c r="A57" s="37" t="s">
        <v>224</v>
      </c>
      <c r="B57" s="8"/>
      <c r="C57" s="12">
        <v>0</v>
      </c>
      <c r="D57" s="8"/>
      <c r="E57" s="94">
        <f>VLOOKUP(A57,'درآمد ناشی از تغییر قیمت اوراق'!A:Q,9,0)</f>
        <v>2748702914</v>
      </c>
      <c r="F57" s="8"/>
      <c r="G57" s="98">
        <f>VLOOKUP(A57,'درآمد ناشی از فروش'!$A$7:$Q$47,9,0)</f>
        <v>1919826959</v>
      </c>
      <c r="H57" s="8"/>
      <c r="I57" s="93">
        <f t="shared" si="3"/>
        <v>4668529873</v>
      </c>
      <c r="J57" s="8"/>
      <c r="K57" s="13"/>
      <c r="L57" s="8"/>
      <c r="M57" s="12">
        <v>0</v>
      </c>
      <c r="N57" s="8"/>
      <c r="O57" s="169">
        <f>VLOOKUP(A57,'درآمد ناشی از تغییر قیمت اوراق'!$A$7:$Q$40,17,0)</f>
        <v>2621109088</v>
      </c>
      <c r="P57" s="169"/>
      <c r="Q57" s="169"/>
      <c r="R57" s="8"/>
      <c r="S57" s="98">
        <f>VLOOKUP('درآمد سرمایه گذاری در سهام'!A57,'درآمد ناشی از فروش'!$A$7:$Q$48,17,0)</f>
        <v>1919826959</v>
      </c>
      <c r="T57" s="8"/>
      <c r="U57" s="93">
        <f t="shared" si="0"/>
        <v>4540936047</v>
      </c>
      <c r="V57" s="8"/>
      <c r="W57" s="13"/>
    </row>
    <row r="58" spans="1:35" ht="30" customHeight="1">
      <c r="A58" s="37" t="s">
        <v>225</v>
      </c>
      <c r="B58" s="8"/>
      <c r="C58" s="12">
        <v>0</v>
      </c>
      <c r="D58" s="8"/>
      <c r="E58" s="94">
        <f>VLOOKUP(A58,'درآمد ناشی از تغییر قیمت اوراق'!A:Q,9,0)</f>
        <v>1137767958</v>
      </c>
      <c r="F58" s="8"/>
      <c r="G58" s="98">
        <v>0</v>
      </c>
      <c r="H58" s="8"/>
      <c r="I58" s="93">
        <f t="shared" si="3"/>
        <v>1137767958</v>
      </c>
      <c r="J58" s="8"/>
      <c r="K58" s="13"/>
      <c r="L58" s="8"/>
      <c r="M58" s="12">
        <v>0</v>
      </c>
      <c r="N58" s="8"/>
      <c r="O58" s="169">
        <f>VLOOKUP(A58,'درآمد ناشی از تغییر قیمت اوراق'!$A$7:$Q$40,17,0)</f>
        <v>1095044705</v>
      </c>
      <c r="P58" s="169"/>
      <c r="Q58" s="169"/>
      <c r="R58" s="8"/>
      <c r="S58" s="98">
        <v>0</v>
      </c>
      <c r="T58" s="8"/>
      <c r="U58" s="93">
        <f t="shared" si="0"/>
        <v>1095044705</v>
      </c>
      <c r="V58" s="8"/>
      <c r="W58" s="13"/>
    </row>
    <row r="59" spans="1:35" ht="30" customHeight="1">
      <c r="A59" s="37" t="s">
        <v>228</v>
      </c>
      <c r="B59" s="8"/>
      <c r="C59" s="12">
        <v>0</v>
      </c>
      <c r="D59" s="8"/>
      <c r="E59" s="94">
        <f>VLOOKUP(A59,'درآمد ناشی از تغییر قیمت اوراق'!A:Q,9,0)</f>
        <v>6322705375</v>
      </c>
      <c r="F59" s="8"/>
      <c r="G59" s="98">
        <v>0</v>
      </c>
      <c r="H59" s="8"/>
      <c r="I59" s="93">
        <f t="shared" si="3"/>
        <v>6322705375</v>
      </c>
      <c r="J59" s="8"/>
      <c r="K59" s="13"/>
      <c r="L59" s="8"/>
      <c r="M59" s="12"/>
      <c r="N59" s="8"/>
      <c r="O59" s="169">
        <f>VLOOKUP(A59,'درآمد ناشی از تغییر قیمت اوراق'!$A$7:$Q$40,17,0)</f>
        <v>6322705375</v>
      </c>
      <c r="P59" s="169"/>
      <c r="Q59" s="169"/>
      <c r="R59" s="8"/>
      <c r="S59" s="98">
        <v>0</v>
      </c>
      <c r="T59" s="8"/>
      <c r="U59" s="93">
        <f t="shared" si="0"/>
        <v>6322705375</v>
      </c>
      <c r="V59" s="8"/>
      <c r="W59" s="13"/>
    </row>
    <row r="60" spans="1:35" s="113" customFormat="1" ht="30" customHeight="1" thickBot="1">
      <c r="A60" s="22" t="s">
        <v>46</v>
      </c>
      <c r="B60" s="22"/>
      <c r="C60" s="28">
        <f>SUM(C8:C59)</f>
        <v>271060245</v>
      </c>
      <c r="D60" s="22"/>
      <c r="E60" s="111">
        <f>SUM(E8:E59)</f>
        <v>364012987801</v>
      </c>
      <c r="F60" s="22"/>
      <c r="G60" s="111">
        <f>SUM(G8:G59)</f>
        <v>31937832082</v>
      </c>
      <c r="H60" s="22"/>
      <c r="I60" s="99">
        <f>E60+G60+C60</f>
        <v>396221880128</v>
      </c>
      <c r="J60" s="22"/>
      <c r="K60" s="29"/>
      <c r="L60" s="22"/>
      <c r="M60" s="28">
        <f>SUM(M8:M59)</f>
        <v>108304337255</v>
      </c>
      <c r="N60" s="22"/>
      <c r="O60" s="174">
        <f>SUM(O8:O59)</f>
        <v>684577912683</v>
      </c>
      <c r="P60" s="174"/>
      <c r="Q60" s="174"/>
      <c r="R60" s="22"/>
      <c r="S60" s="112">
        <f>SUM(S8:S59)</f>
        <v>-44493884969</v>
      </c>
      <c r="T60" s="22"/>
      <c r="U60" s="134">
        <f>SUM(U8:U59)</f>
        <v>748388364969</v>
      </c>
      <c r="V60" s="22"/>
      <c r="W60" s="29"/>
      <c r="Y60" s="8"/>
      <c r="Z60" s="8"/>
      <c r="AA60" s="8"/>
      <c r="AB60" s="83"/>
      <c r="AC60" s="8"/>
      <c r="AD60" s="8"/>
      <c r="AE60" s="8"/>
      <c r="AF60" s="8"/>
      <c r="AG60" s="8"/>
      <c r="AH60" s="8"/>
      <c r="AI60" s="83"/>
    </row>
    <row r="61" spans="1:35" ht="30" customHeight="1" thickTop="1">
      <c r="E61" s="114"/>
    </row>
    <row r="62" spans="1:35" ht="30" customHeight="1">
      <c r="M62" s="40"/>
      <c r="Q62" s="114"/>
    </row>
    <row r="63" spans="1:35" ht="30" customHeight="1">
      <c r="C63" s="40"/>
      <c r="E63" s="114"/>
      <c r="M63" s="40"/>
    </row>
    <row r="64" spans="1:35" ht="30" customHeight="1">
      <c r="C64" s="40"/>
    </row>
    <row r="65" spans="3:7" ht="30" customHeight="1">
      <c r="G65" s="83"/>
    </row>
    <row r="66" spans="3:7" ht="30" customHeight="1">
      <c r="C66" s="132"/>
    </row>
    <row r="67" spans="3:7" ht="30" customHeight="1">
      <c r="C67" s="133"/>
    </row>
  </sheetData>
  <autoFilter ref="A1:A65" xr:uid="{00000000-0001-0000-0800-000000000000}"/>
  <mergeCells count="76">
    <mergeCell ref="O60:Q60"/>
    <mergeCell ref="O58:Q58"/>
    <mergeCell ref="O59:Q59"/>
    <mergeCell ref="O53:Q53"/>
    <mergeCell ref="O54:Q54"/>
    <mergeCell ref="O55:Q55"/>
    <mergeCell ref="O56:Q56"/>
    <mergeCell ref="O57:Q57"/>
    <mergeCell ref="O48:Q48"/>
    <mergeCell ref="O49:Q49"/>
    <mergeCell ref="O50:Q50"/>
    <mergeCell ref="O51:Q51"/>
    <mergeCell ref="O52:Q52"/>
    <mergeCell ref="O46:Q46"/>
    <mergeCell ref="O38:Q38"/>
    <mergeCell ref="O39:Q39"/>
    <mergeCell ref="O40:Q40"/>
    <mergeCell ref="O41:Q41"/>
    <mergeCell ref="O42:Q42"/>
    <mergeCell ref="O36:Q36"/>
    <mergeCell ref="O37:Q37"/>
    <mergeCell ref="O43:Q43"/>
    <mergeCell ref="O44:Q44"/>
    <mergeCell ref="O45:Q45"/>
    <mergeCell ref="O31:Q31"/>
    <mergeCell ref="O32:Q32"/>
    <mergeCell ref="O33:Q33"/>
    <mergeCell ref="O34:Q34"/>
    <mergeCell ref="O35:Q35"/>
    <mergeCell ref="O26:Q26"/>
    <mergeCell ref="O27:Q27"/>
    <mergeCell ref="O28:Q28"/>
    <mergeCell ref="O29:Q29"/>
    <mergeCell ref="O30:Q30"/>
    <mergeCell ref="O21:Q21"/>
    <mergeCell ref="O22:Q22"/>
    <mergeCell ref="O23:Q23"/>
    <mergeCell ref="O24:Q24"/>
    <mergeCell ref="O25:Q25"/>
    <mergeCell ref="O16:Q16"/>
    <mergeCell ref="O17:Q17"/>
    <mergeCell ref="O18:Q18"/>
    <mergeCell ref="O19:Q19"/>
    <mergeCell ref="O20:Q20"/>
    <mergeCell ref="A1:W1"/>
    <mergeCell ref="A2:W2"/>
    <mergeCell ref="A3:W3"/>
    <mergeCell ref="AJ25:AK25"/>
    <mergeCell ref="A6:A7"/>
    <mergeCell ref="Y1:AI1"/>
    <mergeCell ref="Y2:AI2"/>
    <mergeCell ref="Y3:AI3"/>
    <mergeCell ref="Y4:AI4"/>
    <mergeCell ref="Y5:Y6"/>
    <mergeCell ref="AA5:AB5"/>
    <mergeCell ref="AD5:AI5"/>
    <mergeCell ref="I6:K6"/>
    <mergeCell ref="U6:W6"/>
    <mergeCell ref="O8:Q8"/>
    <mergeCell ref="O9:Q9"/>
    <mergeCell ref="O47:Q47"/>
    <mergeCell ref="A4:X4"/>
    <mergeCell ref="C6:C7"/>
    <mergeCell ref="E6:E7"/>
    <mergeCell ref="S6:S7"/>
    <mergeCell ref="O6:Q7"/>
    <mergeCell ref="M6:M7"/>
    <mergeCell ref="G6:G7"/>
    <mergeCell ref="C5:K5"/>
    <mergeCell ref="M5:W5"/>
    <mergeCell ref="O10:Q10"/>
    <mergeCell ref="O11:Q11"/>
    <mergeCell ref="O12:Q12"/>
    <mergeCell ref="O13:Q13"/>
    <mergeCell ref="O14:Q14"/>
    <mergeCell ref="O15:Q15"/>
  </mergeCells>
  <pageMargins left="0.39" right="0.39" top="0.39" bottom="0.39" header="0" footer="0"/>
  <pageSetup scale="56" fitToHeight="0" orientation="landscape" r:id="rId1"/>
  <ignoredErrors>
    <ignoredError sqref="I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KarAmooz</dc:creator>
  <dc:description/>
  <cp:lastModifiedBy>Ava Mobasheri</cp:lastModifiedBy>
  <cp:lastPrinted>2025-12-01T10:49:55Z</cp:lastPrinted>
  <dcterms:created xsi:type="dcterms:W3CDTF">2025-08-25T13:34:27Z</dcterms:created>
  <dcterms:modified xsi:type="dcterms:W3CDTF">2025-12-28T12:41:22Z</dcterms:modified>
</cp:coreProperties>
</file>